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65326" windowWidth="9675" windowHeight="7890" activeTab="0"/>
  </bookViews>
  <sheets>
    <sheet name="Sheet1" sheetId="1" r:id="rId1"/>
  </sheets>
  <definedNames>
    <definedName name="AB88555">#REF!</definedName>
    <definedName name="GDP">#REF!</definedName>
    <definedName name="P65980">#REF!</definedName>
    <definedName name="P68801">#REF!</definedName>
  </definedNames>
  <calcPr fullCalcOnLoad="1"/>
</workbook>
</file>

<file path=xl/sharedStrings.xml><?xml version="1.0" encoding="utf-8"?>
<sst xmlns="http://schemas.openxmlformats.org/spreadsheetml/2006/main" count="519" uniqueCount="157">
  <si>
    <t>Jan.</t>
  </si>
  <si>
    <t>Feb</t>
  </si>
  <si>
    <t>March</t>
  </si>
  <si>
    <t>April</t>
  </si>
  <si>
    <t>May</t>
  </si>
  <si>
    <t>June</t>
  </si>
  <si>
    <t>…</t>
  </si>
  <si>
    <t xml:space="preserve">Gross Foreign exchange assets of CBI </t>
  </si>
  <si>
    <t>Base money</t>
  </si>
  <si>
    <t>M2</t>
  </si>
  <si>
    <t>July</t>
  </si>
  <si>
    <t>August</t>
  </si>
  <si>
    <t>Dec.</t>
  </si>
  <si>
    <t>Inflation(6-months)</t>
  </si>
  <si>
    <t>Inflation(12-months)</t>
  </si>
  <si>
    <t>Fx assets/Base money(ratio)</t>
  </si>
  <si>
    <t>Excess Reserves/Deposits</t>
  </si>
  <si>
    <t>M2/Base Money (multiplier)</t>
  </si>
  <si>
    <t>Sept.</t>
  </si>
  <si>
    <t>a-MOF</t>
  </si>
  <si>
    <t>Interest Rates:</t>
  </si>
  <si>
    <t>2-</t>
  </si>
  <si>
    <t>3-</t>
  </si>
  <si>
    <t>4-</t>
  </si>
  <si>
    <t>5-</t>
  </si>
  <si>
    <t>Growth rate from previous six months</t>
  </si>
  <si>
    <t>Oct.</t>
  </si>
  <si>
    <t>Nov.</t>
  </si>
  <si>
    <t>Monetary Base   (End of period, in billions of Iraqi dinars)</t>
  </si>
  <si>
    <t xml:space="preserve">Feb. </t>
  </si>
  <si>
    <t>Feb.</t>
  </si>
  <si>
    <t>Aug.</t>
  </si>
  <si>
    <t xml:space="preserve">    Policy Rate</t>
  </si>
  <si>
    <t xml:space="preserve">           Amount sold  (in millions of ID)</t>
  </si>
  <si>
    <t xml:space="preserve">    Credit Facilities - Primary</t>
  </si>
  <si>
    <t xml:space="preserve">                                  Secondary</t>
  </si>
  <si>
    <t xml:space="preserve">                                  Lender of Last Resort</t>
  </si>
  <si>
    <t xml:space="preserve"> b-CBI  (end of period, annual % )</t>
  </si>
  <si>
    <t>c- Commercial Banks (end of period, annual % )</t>
  </si>
  <si>
    <t>a - Currency outside banks</t>
  </si>
  <si>
    <t>b - Bank reserves</t>
  </si>
  <si>
    <t xml:space="preserve">      Cash in CBI Vaults</t>
  </si>
  <si>
    <t xml:space="preserve">  b - Net Domestic Assets of CBI</t>
  </si>
  <si>
    <t xml:space="preserve">    of which</t>
  </si>
  <si>
    <t xml:space="preserve">             Holdings of treasury bills</t>
  </si>
  <si>
    <t xml:space="preserve">             Overdrafts</t>
  </si>
  <si>
    <t xml:space="preserve">             less Domestic currency deposits of MOF</t>
  </si>
  <si>
    <t xml:space="preserve">   Foreign currency deposits</t>
  </si>
  <si>
    <t xml:space="preserve">       ID 14 day deposits</t>
  </si>
  <si>
    <t xml:space="preserve">       ID Overnight deposits</t>
  </si>
  <si>
    <t xml:space="preserve">       ID 30 day deposits  </t>
  </si>
  <si>
    <t xml:space="preserve">       USD overnight deposits </t>
  </si>
  <si>
    <t xml:space="preserve">       USD 30 day deposits  </t>
  </si>
  <si>
    <t xml:space="preserve">       USD 90 day deposits  </t>
  </si>
  <si>
    <t xml:space="preserve">       ID Bank deposits (one year fixed)</t>
  </si>
  <si>
    <t xml:space="preserve">       FX Bank deposits (one year fixed)</t>
  </si>
  <si>
    <t xml:space="preserve">            Credits</t>
  </si>
  <si>
    <t>Reserve Requirement (reserve maintenance period, in billions of Iraqi dinars)</t>
  </si>
  <si>
    <t xml:space="preserve">                    Overnight</t>
  </si>
  <si>
    <t xml:space="preserve">             less Foreign exchange deposits of MOF</t>
  </si>
  <si>
    <t xml:space="preserve"> </t>
  </si>
  <si>
    <t>Inflation(Monthly Growth)</t>
  </si>
  <si>
    <t>Memorandom Items</t>
  </si>
  <si>
    <t xml:space="preserve">   Rates on 91 day auctions  (period average )</t>
  </si>
  <si>
    <t xml:space="preserve">           Amount redeemed (in millions of ID)</t>
  </si>
  <si>
    <t xml:space="preserve">           Stock Outstanding (end of period in millions of ID)</t>
  </si>
  <si>
    <t>6-</t>
  </si>
  <si>
    <t xml:space="preserve">CBI Bills </t>
  </si>
  <si>
    <t>182 day maturity discount rate</t>
  </si>
  <si>
    <t xml:space="preserve">    14 day ID deposits</t>
  </si>
  <si>
    <t xml:space="preserve">                30 day ID deposits </t>
  </si>
  <si>
    <t xml:space="preserve">                    30 day</t>
  </si>
  <si>
    <t xml:space="preserve">                    90 day</t>
  </si>
  <si>
    <t>Mar.</t>
  </si>
  <si>
    <t>Rescheduled MOF obligations</t>
  </si>
  <si>
    <t>preliminary</t>
  </si>
  <si>
    <t>Apr.</t>
  </si>
  <si>
    <t xml:space="preserve">    Deposit Facilities</t>
  </si>
  <si>
    <t>Growth rate from previous month</t>
  </si>
  <si>
    <t>Sep.</t>
  </si>
  <si>
    <t xml:space="preserve">               7 day ID deposits </t>
  </si>
  <si>
    <t>Of which: Deposits component of M2</t>
  </si>
  <si>
    <t xml:space="preserve">                     7 day</t>
  </si>
  <si>
    <t xml:space="preserve">       USD  7 day deposits</t>
  </si>
  <si>
    <t xml:space="preserve">       ID 7 day deposits</t>
  </si>
  <si>
    <t xml:space="preserve">       ID Bank loans ( 1+ - 5 year)</t>
  </si>
  <si>
    <t xml:space="preserve">       FX Bank loans (1+ - 5 year )</t>
  </si>
  <si>
    <t xml:space="preserve">     ID Current Account </t>
  </si>
  <si>
    <t xml:space="preserve">     USD Current Account deposits </t>
  </si>
  <si>
    <t>Core Inflation Year-over-Year Percentage Changes</t>
  </si>
  <si>
    <t>Core Inflation  Consumer Price Index Exclude ( F&amp;L and T&amp;C ) ( 1993=100 )</t>
  </si>
  <si>
    <t>Jun</t>
  </si>
  <si>
    <t>Jul</t>
  </si>
  <si>
    <t>Aug</t>
  </si>
  <si>
    <t xml:space="preserve">   b - Excess Current Account</t>
  </si>
  <si>
    <t>Sep</t>
  </si>
  <si>
    <t>Oct</t>
  </si>
  <si>
    <t xml:space="preserve">   M2 </t>
  </si>
  <si>
    <t>Nov</t>
  </si>
  <si>
    <t>Dec</t>
  </si>
  <si>
    <t>Jan</t>
  </si>
  <si>
    <t xml:space="preserve">   M1 </t>
  </si>
  <si>
    <t>M1</t>
  </si>
  <si>
    <r>
      <t xml:space="preserve">                Term USD deposits </t>
    </r>
    <r>
      <rPr>
        <b/>
        <sz val="10"/>
        <rFont val="Times New Roman"/>
        <family val="1"/>
      </rPr>
      <t>4</t>
    </r>
  </si>
  <si>
    <t>Mar</t>
  </si>
  <si>
    <t>Apr</t>
  </si>
  <si>
    <t xml:space="preserve">    91 day maturity discount rate</t>
  </si>
  <si>
    <t xml:space="preserve">The reason behind the monthly and annual inflation as well as the core inflation increase for Jan. 2011, which amounts to 2% , 5.8% and 5.3% respectively, belongs to considering the new electricity rate. </t>
  </si>
  <si>
    <t>Source: CBI / Research &amp; Statistics Dept. / Monetary &amp; Financial statistics Division</t>
  </si>
  <si>
    <t>New Inflation(Monthly Growth)</t>
  </si>
  <si>
    <t>New Inflation(12-months)</t>
  </si>
  <si>
    <t>New Core Inflation Year-over-Year Percentage Changes</t>
  </si>
  <si>
    <t xml:space="preserve">  a - Net Foreign Assets of CBI</t>
  </si>
  <si>
    <t>The week ending</t>
  </si>
  <si>
    <t xml:space="preserve">           </t>
  </si>
  <si>
    <t>May.</t>
  </si>
  <si>
    <r>
      <t xml:space="preserve">   Rates on 182 day auctions  (period average ) </t>
    </r>
    <r>
      <rPr>
        <b/>
        <sz val="10"/>
        <rFont val="Times New Roman"/>
        <family val="1"/>
      </rPr>
      <t>6</t>
    </r>
  </si>
  <si>
    <r>
      <t xml:space="preserve">   Rates on 365 day auctions  (period average ) </t>
    </r>
    <r>
      <rPr>
        <b/>
        <sz val="10"/>
        <rFont val="Times New Roman"/>
        <family val="1"/>
      </rPr>
      <t>6</t>
    </r>
  </si>
  <si>
    <r>
      <t xml:space="preserve">    </t>
    </r>
    <r>
      <rPr>
        <b/>
        <sz val="10"/>
        <rFont val="Times New Roman"/>
        <family val="1"/>
      </rPr>
      <t xml:space="preserve">Sources </t>
    </r>
    <r>
      <rPr>
        <sz val="10"/>
        <rFont val="Times New Roman"/>
        <family val="1"/>
      </rPr>
      <t>(a+b)</t>
    </r>
  </si>
  <si>
    <r>
      <t xml:space="preserve">     </t>
    </r>
    <r>
      <rPr>
        <b/>
        <sz val="10"/>
        <rFont val="Times New Roman"/>
        <family val="1"/>
      </rPr>
      <t xml:space="preserve"> Gross Foreign Assets of CBI </t>
    </r>
  </si>
  <si>
    <r>
      <t xml:space="preserve">      Gold and SDRs </t>
    </r>
    <r>
      <rPr>
        <b/>
        <sz val="10"/>
        <rFont val="Times New Roman"/>
        <family val="1"/>
      </rPr>
      <t>5</t>
    </r>
  </si>
  <si>
    <r>
      <t xml:space="preserve">         </t>
    </r>
    <r>
      <rPr>
        <b/>
        <sz val="10"/>
        <rFont val="Times New Roman"/>
        <family val="1"/>
      </rPr>
      <t xml:space="preserve"> Net claims on central government</t>
    </r>
  </si>
  <si>
    <r>
      <t xml:space="preserve">       </t>
    </r>
    <r>
      <rPr>
        <b/>
        <sz val="10"/>
        <rFont val="Times New Roman"/>
        <family val="1"/>
      </rPr>
      <t xml:space="preserve">  Net claims on commercial banks</t>
    </r>
  </si>
  <si>
    <r>
      <t xml:space="preserve">    Uses</t>
    </r>
    <r>
      <rPr>
        <sz val="10"/>
        <rFont val="Times New Roman"/>
        <family val="1"/>
      </rPr>
      <t xml:space="preserve"> (a+b)</t>
    </r>
  </si>
  <si>
    <r>
      <t xml:space="preserve">     Overnight ID deposits </t>
    </r>
    <r>
      <rPr>
        <b/>
        <sz val="10"/>
        <rFont val="Times New Roman"/>
        <family val="1"/>
      </rPr>
      <t xml:space="preserve">1 </t>
    </r>
  </si>
  <si>
    <r>
      <t xml:space="preserve">     ID vault cash </t>
    </r>
    <r>
      <rPr>
        <b/>
        <sz val="10"/>
        <rFont val="Times New Roman"/>
        <family val="1"/>
      </rPr>
      <t>2</t>
    </r>
  </si>
  <si>
    <r>
      <t>Money Supply</t>
    </r>
    <r>
      <rPr>
        <sz val="10"/>
        <rFont val="Times New Roman"/>
        <family val="1"/>
      </rPr>
      <t xml:space="preserve"> </t>
    </r>
    <r>
      <rPr>
        <b/>
        <sz val="10"/>
        <rFont val="Times New Roman"/>
        <family val="1"/>
      </rPr>
      <t>(End of period , in billions of Iraqi dinars)</t>
    </r>
  </si>
  <si>
    <r>
      <t xml:space="preserve">   a - Required Reserves </t>
    </r>
    <r>
      <rPr>
        <b/>
        <sz val="10"/>
        <rFont val="Times New Roman"/>
        <family val="1"/>
      </rPr>
      <t>3</t>
    </r>
  </si>
  <si>
    <r>
      <t>Note</t>
    </r>
    <r>
      <rPr>
        <b/>
        <sz val="10"/>
        <rFont val="Times New Roman"/>
        <family val="1"/>
      </rPr>
      <t xml:space="preserve">:2, </t>
    </r>
    <r>
      <rPr>
        <sz val="10"/>
        <rFont val="Times New Roman"/>
        <family val="1"/>
      </rPr>
      <t>The weekly vault cash include the banknote only ( without coins )</t>
    </r>
  </si>
  <si>
    <r>
      <t xml:space="preserve">Note </t>
    </r>
    <r>
      <rPr>
        <b/>
        <sz val="10"/>
        <rFont val="Times New Roman"/>
        <family val="1"/>
      </rPr>
      <t>:3,</t>
    </r>
    <r>
      <rPr>
        <sz val="10"/>
        <rFont val="Times New Roman"/>
        <family val="1"/>
      </rPr>
      <t xml:space="preserve">  25% of the Reservable Deposits included the government Deposits Since May 2005, then became 75%of Reservable Gov. Deposits since July,2007.  So 25% of the Reservable Deposits included the government Deposits Since March 2009. The reserve requirement has dropped from 25 to 20 percent since April 2010. The reserve requirement has dropped from 20 to 15 percent since Sep. 2010  </t>
    </r>
  </si>
  <si>
    <r>
      <t xml:space="preserve">            Less Deposits and bills (excluding overnight ID) </t>
    </r>
    <r>
      <rPr>
        <b/>
        <sz val="10"/>
        <color indexed="10"/>
        <rFont val="Times New Roman"/>
        <family val="1"/>
      </rPr>
      <t>4</t>
    </r>
  </si>
  <si>
    <r>
      <t xml:space="preserve">    </t>
    </r>
    <r>
      <rPr>
        <b/>
        <sz val="10"/>
        <color indexed="10"/>
        <rFont val="Times New Roman"/>
        <family val="1"/>
      </rPr>
      <t xml:space="preserve">  Less Foreign Liabilities of CBI </t>
    </r>
  </si>
  <si>
    <t xml:space="preserve">         Foreign sector foreign currency current account</t>
  </si>
  <si>
    <r>
      <t>Note:</t>
    </r>
    <r>
      <rPr>
        <b/>
        <sz val="10"/>
        <rFont val="Times New Roman"/>
        <family val="1"/>
      </rPr>
      <t>1,</t>
    </r>
    <r>
      <rPr>
        <sz val="10"/>
        <rFont val="Times New Roman"/>
        <family val="1"/>
      </rPr>
      <t xml:space="preserve">  From July 1, 2007 the ID overnight deposits were replaced with 7 day deposits, and thus no longer included in base Money and Excess Reserves. The USD Overnight deposits were replaced by 7 day deposits from Oct 1, 2007."</t>
    </r>
  </si>
  <si>
    <r>
      <t xml:space="preserve">Note </t>
    </r>
    <r>
      <rPr>
        <b/>
        <sz val="10"/>
        <rFont val="Times New Roman"/>
        <family val="1"/>
      </rPr>
      <t>:6,</t>
    </r>
    <r>
      <rPr>
        <sz val="10"/>
        <rFont val="Times New Roman"/>
        <family val="1"/>
      </rPr>
      <t xml:space="preserve"> The MOF issued a non tradable bills to Rafidain &amp; Rashid for some projects at 25th of August 2009 and at 10th of September 2009 respectively. So the MOF stopped issueing the Tbills of 91 days and replaced by one year and 182 days Tbills from Jan.2010.</t>
    </r>
  </si>
  <si>
    <r>
      <t xml:space="preserve">             Discounted T-Bills  </t>
    </r>
    <r>
      <rPr>
        <b/>
        <sz val="10"/>
        <rFont val="Times New Roman"/>
        <family val="1"/>
      </rPr>
      <t>8</t>
    </r>
  </si>
  <si>
    <r>
      <t>Note:</t>
    </r>
    <r>
      <rPr>
        <b/>
        <sz val="10"/>
        <rFont val="Times New Roman"/>
        <family val="1"/>
      </rPr>
      <t xml:space="preserve"> 7</t>
    </r>
    <r>
      <rPr>
        <sz val="10"/>
        <rFont val="Times New Roman"/>
        <family val="1"/>
      </rPr>
      <t>, New Core Inflation: ( exclude the fruit &amp; vegetables and Kerosene &amp; LPG )</t>
    </r>
  </si>
  <si>
    <r>
      <t xml:space="preserve">Note: </t>
    </r>
    <r>
      <rPr>
        <b/>
        <sz val="10"/>
        <rFont val="Times New Roman"/>
        <family val="1"/>
      </rPr>
      <t>8</t>
    </r>
    <r>
      <rPr>
        <sz val="10"/>
        <rFont val="Times New Roman"/>
        <family val="1"/>
      </rPr>
      <t>, New MOF Discounted T-Bills with CBI starting frome Feb. 2015</t>
    </r>
  </si>
  <si>
    <r>
      <t>Note :</t>
    </r>
    <r>
      <rPr>
        <b/>
        <sz val="10"/>
        <rFont val="Times New Roman"/>
        <family val="1"/>
      </rPr>
      <t>5,</t>
    </r>
    <r>
      <rPr>
        <sz val="10"/>
        <rFont val="Times New Roman"/>
        <family val="1"/>
      </rPr>
      <t xml:space="preserve"> Starting from October 2009, the increasing in SDR is according to the IMF revised treatment of SDR Allocations in Monetary Statistics. , Excluding SDR starting frome Nov. 2015</t>
    </r>
  </si>
  <si>
    <t>Inflation             Consumer Price Index (1993 = 100)</t>
  </si>
  <si>
    <t>Core Inflation  Consumer Price Index ( 2007=100 ) 7</t>
  </si>
  <si>
    <t>New Inflation      Consumer Price Index (2012 = 100)</t>
  </si>
  <si>
    <t>Inflation      Consumer Price Index (2007 = 100)</t>
  </si>
  <si>
    <t>New Core Inflation  Consumer Price Index ( 2012=100 ) 7</t>
  </si>
  <si>
    <t>.</t>
  </si>
  <si>
    <r>
      <t>Note</t>
    </r>
    <r>
      <rPr>
        <b/>
        <sz val="10"/>
        <rFont val="Times New Roman"/>
        <family val="1"/>
      </rPr>
      <t xml:space="preserve"> :4,</t>
    </r>
    <r>
      <rPr>
        <sz val="10"/>
        <rFont val="Times New Roman"/>
        <family val="1"/>
      </rPr>
      <t xml:space="preserve"> Both ( 14 &amp; 30 day ID And 7 &amp; 30 &amp; 90 USD) deposits  closed since March,1,2009. Since Aug. ,15,2016  CBI resumed Both (14 &amp; 30 day ID) deposits</t>
    </r>
  </si>
  <si>
    <r>
      <t xml:space="preserve">      Investments </t>
    </r>
    <r>
      <rPr>
        <b/>
        <sz val="10"/>
        <rFont val="Times New Roman"/>
        <family val="1"/>
      </rPr>
      <t>9</t>
    </r>
  </si>
  <si>
    <r>
      <t xml:space="preserve">Note: </t>
    </r>
    <r>
      <rPr>
        <b/>
        <sz val="10"/>
        <rFont val="Times New Roman"/>
        <family val="1"/>
      </rPr>
      <t>9</t>
    </r>
    <r>
      <rPr>
        <sz val="10"/>
        <rFont val="Times New Roman"/>
        <family val="1"/>
      </rPr>
      <t>, Investment data were amended as of Jan.2006,based on the CBI balance sheet.</t>
    </r>
  </si>
  <si>
    <r>
      <t xml:space="preserve">             MOF - Bonds </t>
    </r>
    <r>
      <rPr>
        <b/>
        <sz val="8"/>
        <rFont val="Times New Roman"/>
        <family val="1"/>
      </rPr>
      <t>10</t>
    </r>
  </si>
  <si>
    <t>Note: 10 , MOF issued bonds to riemburse Farmers dues effective Sept. , 2016</t>
  </si>
  <si>
    <t>3,50</t>
  </si>
  <si>
    <t>3,20</t>
  </si>
  <si>
    <t xml:space="preserve">    The amount of CBI " bills outstanding (ID)</t>
  </si>
  <si>
    <t xml:space="preserve">    The amount of CBI " bills outstanding (USD)</t>
  </si>
  <si>
    <t>365 day maturity discount rate (ID)</t>
  </si>
  <si>
    <t>365 day maturity discount rate (USD)</t>
  </si>
  <si>
    <t>KEY FINANCIAL INDICATORS FOR MAY,2,2019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</si>
</sst>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_(* #,##0.0_);_(* \(#,##0.0\);_(* &quot;-&quot;??_);_(@_)"/>
    <numFmt numFmtId="168" formatCode="B1dd\-mmm"/>
    <numFmt numFmtId="169" formatCode="#,##0.000"/>
    <numFmt numFmtId="170" formatCode="_(* #,##0.000_);_(* \(#,##0.000\);_(* &quot;-&quot;??_);_(@_)"/>
    <numFmt numFmtId="171" formatCode="_(* #,##0.0000_);_(* \(#,##0.0000\);_(* &quot;-&quot;??_);_(@_)"/>
    <numFmt numFmtId="172" formatCode="_-* #,##0_-;_-* #,##0\-;_-* &quot;-&quot;??_-;_-@_-"/>
  </numFmts>
  <fonts count="68">
    <font>
      <sz val="10"/>
      <name val="Times New Roman"/>
      <family val="0"/>
    </font>
    <font>
      <u val="single"/>
      <sz val="10"/>
      <color indexed="36"/>
      <name val="Times New Roman"/>
      <family val="1"/>
    </font>
    <font>
      <u val="single"/>
      <sz val="10"/>
      <color indexed="12"/>
      <name val="Times New Roman"/>
      <family val="1"/>
    </font>
    <font>
      <b/>
      <sz val="10"/>
      <name val="Times New Roman"/>
      <family val="1"/>
    </font>
    <font>
      <b/>
      <u val="single"/>
      <sz val="10"/>
      <name val="Times New Roman"/>
      <family val="1"/>
    </font>
    <font>
      <sz val="10"/>
      <name val="Arabic Transparent"/>
      <family val="0"/>
    </font>
    <font>
      <sz val="8"/>
      <name val="Times New Roman"/>
      <family val="1"/>
    </font>
    <font>
      <b/>
      <sz val="12"/>
      <name val="Times New Roman"/>
      <family val="1"/>
    </font>
    <font>
      <sz val="12"/>
      <name val="Times New Roman"/>
      <family val="1"/>
    </font>
    <font>
      <sz val="10"/>
      <color indexed="12"/>
      <name val="Times New Roman"/>
      <family val="1"/>
    </font>
    <font>
      <b/>
      <i/>
      <sz val="10"/>
      <name val="Verdana"/>
      <family val="2"/>
    </font>
    <font>
      <b/>
      <sz val="8"/>
      <name val="Times New Roman"/>
      <family val="1"/>
    </font>
    <font>
      <b/>
      <i/>
      <sz val="10"/>
      <name val="Times New Roman"/>
      <family val="1"/>
    </font>
    <font>
      <sz val="10"/>
      <name val="Arial"/>
      <family val="2"/>
    </font>
    <font>
      <b/>
      <sz val="10"/>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Times New Roman"/>
      <family val="1"/>
    </font>
    <font>
      <sz val="10"/>
      <color indexed="30"/>
      <name val="Arabic Transparent"/>
      <family val="0"/>
    </font>
    <font>
      <sz val="10"/>
      <color indexed="30"/>
      <name val="Times New Roman"/>
      <family val="1"/>
    </font>
    <font>
      <i/>
      <sz val="10"/>
      <color indexed="10"/>
      <name val="Times New Roman"/>
      <family val="1"/>
    </font>
    <font>
      <b/>
      <i/>
      <sz val="10"/>
      <color indexed="10"/>
      <name val="Times New Roman"/>
      <family val="1"/>
    </font>
    <font>
      <sz val="10"/>
      <color indexed="8"/>
      <name val="Times New Roman"/>
      <family val="1"/>
    </font>
    <font>
      <sz val="10"/>
      <color indexed="62"/>
      <name val="Times New Roman"/>
      <family val="1"/>
    </font>
    <font>
      <sz val="10"/>
      <color indexed="62"/>
      <name val="Arabic Transparent"/>
      <family val="0"/>
    </font>
    <font>
      <b/>
      <sz val="10"/>
      <color indexed="62"/>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Times New Roman"/>
      <family val="1"/>
    </font>
    <font>
      <b/>
      <sz val="10"/>
      <color rgb="FFFF0000"/>
      <name val="Times New Roman"/>
      <family val="1"/>
    </font>
    <font>
      <sz val="10"/>
      <color rgb="FF0070C0"/>
      <name val="Arabic Transparent"/>
      <family val="0"/>
    </font>
    <font>
      <sz val="10"/>
      <color rgb="FF0070C0"/>
      <name val="Times New Roman"/>
      <family val="1"/>
    </font>
    <font>
      <i/>
      <sz val="10"/>
      <color rgb="FFFF0000"/>
      <name val="Times New Roman"/>
      <family val="1"/>
    </font>
    <font>
      <b/>
      <i/>
      <sz val="10"/>
      <color rgb="FFFF0000"/>
      <name val="Times New Roman"/>
      <family val="1"/>
    </font>
    <font>
      <sz val="10"/>
      <color theme="1"/>
      <name val="Times New Roman"/>
      <family val="1"/>
    </font>
    <font>
      <sz val="10"/>
      <color theme="3" tint="0.39998000860214233"/>
      <name val="Times New Roman"/>
      <family val="1"/>
    </font>
    <font>
      <sz val="10"/>
      <color theme="3" tint="0.39998000860214233"/>
      <name val="Arabic Transparent"/>
      <family val="0"/>
    </font>
    <font>
      <b/>
      <sz val="10"/>
      <color theme="3" tint="0.39998000860214233"/>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ck"/>
      <right style="thick"/>
      <top style="thin"/>
      <bottom style="thin"/>
    </border>
    <border>
      <left style="thick"/>
      <right style="thick"/>
      <top>
        <color indexed="63"/>
      </top>
      <bottom>
        <color indexed="63"/>
      </bottom>
    </border>
    <border>
      <left style="thick"/>
      <right style="thick"/>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ck"/>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ck"/>
      <top>
        <color indexed="63"/>
      </top>
      <bottom>
        <color indexed="63"/>
      </bottom>
    </border>
    <border>
      <left style="thick"/>
      <right style="thin"/>
      <top style="thin"/>
      <bottom style="thin"/>
    </border>
    <border>
      <left style="thin"/>
      <right style="thick"/>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ck"/>
      <right>
        <color indexed="63"/>
      </right>
      <top style="thin"/>
      <bottom style="thin"/>
    </border>
    <border>
      <left>
        <color indexed="63"/>
      </left>
      <right style="thick"/>
      <top style="thin"/>
      <bottom>
        <color indexed="63"/>
      </bottom>
    </border>
    <border>
      <left style="thick"/>
      <right>
        <color indexed="63"/>
      </right>
      <top style="thin"/>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color indexed="63"/>
      </top>
      <bottom style="thin"/>
    </border>
    <border>
      <left style="thick"/>
      <right style="thin"/>
      <top>
        <color indexed="63"/>
      </top>
      <bottom style="thin"/>
    </border>
    <border>
      <left style="thin"/>
      <right style="thick"/>
      <top>
        <color indexed="63"/>
      </top>
      <bottom style="thin"/>
    </border>
    <border>
      <left>
        <color indexed="63"/>
      </left>
      <right style="thick"/>
      <top>
        <color indexed="63"/>
      </top>
      <bottom style="thin"/>
    </border>
    <border>
      <left style="thick"/>
      <right>
        <color indexed="63"/>
      </right>
      <top>
        <color indexed="63"/>
      </top>
      <bottom style="thin"/>
    </border>
    <border>
      <left>
        <color indexed="63"/>
      </left>
      <right style="thin"/>
      <top>
        <color indexed="63"/>
      </top>
      <bottom style="thin"/>
    </border>
    <border>
      <left>
        <color indexed="63"/>
      </left>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70">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10" xfId="0" applyFont="1" applyBorder="1" applyAlignment="1">
      <alignment horizontal="center"/>
    </xf>
    <xf numFmtId="0" fontId="0" fillId="0" borderId="11" xfId="0" applyFont="1" applyBorder="1" applyAlignment="1">
      <alignment/>
    </xf>
    <xf numFmtId="0" fontId="3" fillId="0" borderId="0" xfId="0" applyFont="1" applyBorder="1" applyAlignment="1">
      <alignment horizontal="right"/>
    </xf>
    <xf numFmtId="0" fontId="0" fillId="0" borderId="0" xfId="0" applyFont="1" applyBorder="1" applyAlignment="1">
      <alignment wrapText="1"/>
    </xf>
    <xf numFmtId="0" fontId="0" fillId="0" borderId="0" xfId="0" applyFont="1" applyAlignment="1">
      <alignment wrapText="1"/>
    </xf>
    <xf numFmtId="0" fontId="9" fillId="0" borderId="0" xfId="0" applyFont="1" applyBorder="1" applyAlignment="1">
      <alignment/>
    </xf>
    <xf numFmtId="0" fontId="0" fillId="0" borderId="0" xfId="0" applyFont="1" applyBorder="1" applyAlignment="1">
      <alignment/>
    </xf>
    <xf numFmtId="1" fontId="3" fillId="0" borderId="0" xfId="0" applyNumberFormat="1" applyFont="1" applyBorder="1" applyAlignment="1">
      <alignment horizontal="center"/>
    </xf>
    <xf numFmtId="164" fontId="0" fillId="0" borderId="0" xfId="42" applyNumberFormat="1" applyFont="1" applyAlignment="1">
      <alignment/>
    </xf>
    <xf numFmtId="164" fontId="3" fillId="0" borderId="0" xfId="42" applyNumberFormat="1" applyFont="1" applyBorder="1" applyAlignment="1">
      <alignment horizontal="right"/>
    </xf>
    <xf numFmtId="0" fontId="3" fillId="0" borderId="0" xfId="0" applyFont="1" applyFill="1" applyBorder="1" applyAlignment="1">
      <alignment horizontal="right"/>
    </xf>
    <xf numFmtId="0" fontId="0" fillId="0" borderId="11" xfId="0" applyFont="1" applyFill="1" applyBorder="1" applyAlignment="1">
      <alignment horizontal="left" indent="1"/>
    </xf>
    <xf numFmtId="0" fontId="3" fillId="0" borderId="12" xfId="0" applyFont="1" applyBorder="1" applyAlignment="1">
      <alignment horizontal="center"/>
    </xf>
    <xf numFmtId="0" fontId="0" fillId="0" borderId="13" xfId="0" applyFont="1" applyBorder="1" applyAlignment="1">
      <alignment/>
    </xf>
    <xf numFmtId="2" fontId="0" fillId="0" borderId="14" xfId="0" applyNumberFormat="1" applyFont="1" applyBorder="1" applyAlignment="1">
      <alignment horizontal="center"/>
    </xf>
    <xf numFmtId="2" fontId="0" fillId="0" borderId="13" xfId="0" applyNumberFormat="1" applyFont="1" applyBorder="1" applyAlignment="1">
      <alignment horizontal="center"/>
    </xf>
    <xf numFmtId="0" fontId="3" fillId="0" borderId="15" xfId="0" applyFont="1" applyFill="1" applyBorder="1" applyAlignment="1">
      <alignment wrapText="1"/>
    </xf>
    <xf numFmtId="0" fontId="10" fillId="32" borderId="16" xfId="0" applyFont="1" applyFill="1"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16" fontId="3" fillId="0" borderId="18" xfId="0" applyNumberFormat="1" applyFont="1" applyBorder="1" applyAlignment="1">
      <alignment horizontal="center"/>
    </xf>
    <xf numFmtId="0" fontId="0" fillId="0" borderId="16" xfId="0" applyFont="1" applyBorder="1" applyAlignment="1">
      <alignment/>
    </xf>
    <xf numFmtId="2" fontId="0" fillId="0" borderId="0" xfId="0" applyNumberFormat="1" applyFont="1" applyBorder="1" applyAlignment="1">
      <alignment horizontal="center"/>
    </xf>
    <xf numFmtId="2" fontId="0" fillId="0" borderId="0" xfId="0" applyNumberFormat="1" applyFont="1" applyFill="1" applyBorder="1" applyAlignment="1">
      <alignment horizontal="center"/>
    </xf>
    <xf numFmtId="0" fontId="0" fillId="0" borderId="0" xfId="0" applyFont="1" applyBorder="1" applyAlignment="1">
      <alignment/>
    </xf>
    <xf numFmtId="164" fontId="0" fillId="0" borderId="0" xfId="0" applyNumberFormat="1" applyFont="1" applyAlignment="1">
      <alignment/>
    </xf>
    <xf numFmtId="2" fontId="9" fillId="0" borderId="0" xfId="0" applyNumberFormat="1" applyFont="1" applyBorder="1" applyAlignment="1">
      <alignment/>
    </xf>
    <xf numFmtId="2" fontId="0" fillId="0" borderId="19" xfId="0" applyNumberFormat="1" applyFont="1" applyBorder="1" applyAlignment="1">
      <alignment horizontal="center"/>
    </xf>
    <xf numFmtId="2" fontId="0" fillId="0" borderId="15" xfId="0" applyNumberFormat="1" applyFont="1" applyBorder="1" applyAlignment="1">
      <alignment horizontal="center"/>
    </xf>
    <xf numFmtId="0" fontId="0" fillId="0" borderId="15" xfId="0" applyFont="1" applyBorder="1" applyAlignment="1">
      <alignment/>
    </xf>
    <xf numFmtId="0" fontId="0" fillId="0" borderId="20" xfId="0" applyFont="1" applyBorder="1" applyAlignment="1">
      <alignment/>
    </xf>
    <xf numFmtId="2" fontId="0" fillId="0" borderId="21" xfId="0" applyNumberFormat="1" applyFont="1" applyBorder="1" applyAlignment="1">
      <alignment horizontal="center"/>
    </xf>
    <xf numFmtId="2" fontId="0" fillId="0" borderId="16" xfId="0" applyNumberFormat="1" applyFont="1" applyBorder="1" applyAlignment="1">
      <alignment horizontal="center"/>
    </xf>
    <xf numFmtId="2" fontId="0" fillId="0" borderId="22" xfId="0" applyNumberFormat="1" applyFont="1" applyBorder="1" applyAlignment="1">
      <alignment horizontal="center"/>
    </xf>
    <xf numFmtId="0" fontId="0" fillId="0" borderId="21" xfId="0" applyFont="1" applyBorder="1" applyAlignment="1">
      <alignment/>
    </xf>
    <xf numFmtId="0" fontId="0" fillId="0" borderId="22" xfId="0" applyFont="1" applyBorder="1" applyAlignment="1">
      <alignment/>
    </xf>
    <xf numFmtId="0" fontId="3" fillId="0" borderId="23" xfId="0" applyFont="1" applyBorder="1" applyAlignment="1">
      <alignment horizontal="center"/>
    </xf>
    <xf numFmtId="16" fontId="3" fillId="0" borderId="24" xfId="0" applyNumberFormat="1" applyFont="1" applyBorder="1" applyAlignment="1">
      <alignment horizontal="center"/>
    </xf>
    <xf numFmtId="16" fontId="3" fillId="0" borderId="19" xfId="0" applyNumberFormat="1" applyFont="1" applyBorder="1" applyAlignment="1">
      <alignment horizontal="center"/>
    </xf>
    <xf numFmtId="16" fontId="3" fillId="0" borderId="15" xfId="0" applyNumberFormat="1" applyFont="1" applyBorder="1" applyAlignment="1">
      <alignment horizontal="center"/>
    </xf>
    <xf numFmtId="0" fontId="0" fillId="0" borderId="19" xfId="0" applyFont="1" applyBorder="1" applyAlignment="1">
      <alignment/>
    </xf>
    <xf numFmtId="16" fontId="3" fillId="0" borderId="23" xfId="0" applyNumberFormat="1" applyFont="1" applyBorder="1" applyAlignment="1">
      <alignment horizontal="center"/>
    </xf>
    <xf numFmtId="0" fontId="3" fillId="0" borderId="24" xfId="0" applyFont="1" applyBorder="1" applyAlignment="1">
      <alignment horizontal="center"/>
    </xf>
    <xf numFmtId="0" fontId="9" fillId="0" borderId="0" xfId="0" applyFont="1" applyFill="1" applyBorder="1" applyAlignment="1">
      <alignment/>
    </xf>
    <xf numFmtId="164" fontId="0" fillId="0" borderId="0" xfId="0" applyNumberFormat="1" applyFont="1" applyFill="1" applyAlignment="1">
      <alignment/>
    </xf>
    <xf numFmtId="0" fontId="0" fillId="0" borderId="0" xfId="0" applyFont="1" applyFill="1" applyBorder="1" applyAlignment="1">
      <alignment/>
    </xf>
    <xf numFmtId="2" fontId="9" fillId="0" borderId="0" xfId="0" applyNumberFormat="1" applyFont="1" applyFill="1" applyBorder="1" applyAlignment="1">
      <alignment/>
    </xf>
    <xf numFmtId="0" fontId="3" fillId="0" borderId="18" xfId="0" applyFont="1" applyFill="1" applyBorder="1" applyAlignment="1">
      <alignment horizontal="center"/>
    </xf>
    <xf numFmtId="1" fontId="3" fillId="0" borderId="10" xfId="0" applyNumberFormat="1" applyFont="1" applyBorder="1" applyAlignment="1">
      <alignment horizontal="center"/>
    </xf>
    <xf numFmtId="1" fontId="3" fillId="0" borderId="25" xfId="0" applyNumberFormat="1" applyFont="1" applyBorder="1" applyAlignment="1">
      <alignment horizontal="center"/>
    </xf>
    <xf numFmtId="0" fontId="0" fillId="0" borderId="20" xfId="0" applyFont="1" applyBorder="1" applyAlignment="1">
      <alignment wrapText="1"/>
    </xf>
    <xf numFmtId="0" fontId="3" fillId="0" borderId="25" xfId="0" applyFont="1" applyBorder="1" applyAlignment="1">
      <alignment horizontal="center"/>
    </xf>
    <xf numFmtId="0" fontId="0" fillId="0" borderId="0" xfId="0" applyFont="1" applyFill="1" applyAlignment="1">
      <alignment/>
    </xf>
    <xf numFmtId="0" fontId="9" fillId="0" borderId="0" xfId="0" applyFont="1" applyBorder="1" applyAlignment="1">
      <alignment/>
    </xf>
    <xf numFmtId="164" fontId="5" fillId="0" borderId="16" xfId="42" applyNumberFormat="1" applyFont="1" applyBorder="1" applyAlignment="1">
      <alignment horizontal="center" vertical="center" readingOrder="1"/>
    </xf>
    <xf numFmtId="164" fontId="5" fillId="0" borderId="16" xfId="42" applyNumberFormat="1" applyFont="1" applyFill="1" applyBorder="1" applyAlignment="1">
      <alignment horizontal="center" vertical="center" readingOrder="1"/>
    </xf>
    <xf numFmtId="167" fontId="5" fillId="0" borderId="16" xfId="42" applyNumberFormat="1" applyFont="1" applyBorder="1" applyAlignment="1">
      <alignment horizontal="center" vertical="center" readingOrder="1"/>
    </xf>
    <xf numFmtId="0" fontId="0" fillId="0" borderId="16" xfId="0" applyFont="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center"/>
    </xf>
    <xf numFmtId="165" fontId="0" fillId="0" borderId="16" xfId="0" applyNumberFormat="1" applyFont="1" applyBorder="1" applyAlignment="1">
      <alignment/>
    </xf>
    <xf numFmtId="165" fontId="0" fillId="0" borderId="16" xfId="0" applyNumberFormat="1" applyFont="1" applyBorder="1" applyAlignment="1">
      <alignment horizontal="right"/>
    </xf>
    <xf numFmtId="3" fontId="0" fillId="0" borderId="16" xfId="42" applyNumberFormat="1" applyFont="1" applyBorder="1" applyAlignment="1">
      <alignment horizontal="center"/>
    </xf>
    <xf numFmtId="3" fontId="0" fillId="0" borderId="16" xfId="42" applyNumberFormat="1" applyFont="1" applyBorder="1" applyAlignment="1">
      <alignment horizontal="right"/>
    </xf>
    <xf numFmtId="3" fontId="0" fillId="0" borderId="16" xfId="42" applyNumberFormat="1" applyFont="1" applyFill="1" applyBorder="1" applyAlignment="1">
      <alignment horizontal="right"/>
    </xf>
    <xf numFmtId="3" fontId="0" fillId="0" borderId="16" xfId="42" applyNumberFormat="1" applyFont="1" applyFill="1" applyBorder="1" applyAlignment="1">
      <alignment horizontal="center"/>
    </xf>
    <xf numFmtId="0" fontId="0" fillId="0" borderId="16" xfId="0" applyNumberFormat="1" applyFont="1" applyFill="1" applyBorder="1" applyAlignment="1">
      <alignment horizontal="right"/>
    </xf>
    <xf numFmtId="0" fontId="0" fillId="0" borderId="16" xfId="0" applyFont="1" applyBorder="1" applyAlignment="1">
      <alignment horizontal="right"/>
    </xf>
    <xf numFmtId="1" fontId="0" fillId="0" borderId="16" xfId="0" applyNumberFormat="1" applyFont="1" applyBorder="1" applyAlignment="1">
      <alignment horizontal="right"/>
    </xf>
    <xf numFmtId="164" fontId="0" fillId="0" borderId="16" xfId="42" applyNumberFormat="1" applyFont="1" applyBorder="1" applyAlignment="1">
      <alignment horizontal="right"/>
    </xf>
    <xf numFmtId="167" fontId="0" fillId="0" borderId="16" xfId="42" applyNumberFormat="1" applyFont="1" applyBorder="1" applyAlignment="1">
      <alignment horizontal="right"/>
    </xf>
    <xf numFmtId="43" fontId="0" fillId="0" borderId="16" xfId="42" applyNumberFormat="1" applyFont="1" applyBorder="1" applyAlignment="1">
      <alignment horizontal="right"/>
    </xf>
    <xf numFmtId="0" fontId="0" fillId="0" borderId="16" xfId="0" applyFont="1" applyFill="1" applyBorder="1" applyAlignment="1">
      <alignment horizontal="right"/>
    </xf>
    <xf numFmtId="1" fontId="0" fillId="0" borderId="16" xfId="0" applyNumberFormat="1" applyFont="1" applyBorder="1" applyAlignment="1">
      <alignment/>
    </xf>
    <xf numFmtId="3" fontId="0" fillId="0" borderId="16" xfId="0" applyNumberFormat="1" applyFont="1" applyBorder="1" applyAlignment="1">
      <alignment/>
    </xf>
    <xf numFmtId="164" fontId="0" fillId="0" borderId="16" xfId="42" applyNumberFormat="1" applyFont="1" applyFill="1" applyBorder="1" applyAlignment="1">
      <alignment/>
    </xf>
    <xf numFmtId="3" fontId="0" fillId="0" borderId="16" xfId="0" applyNumberFormat="1" applyFont="1" applyBorder="1" applyAlignment="1">
      <alignment horizontal="right"/>
    </xf>
    <xf numFmtId="164" fontId="0" fillId="0" borderId="16" xfId="42" applyNumberFormat="1" applyFont="1" applyBorder="1" applyAlignment="1">
      <alignment/>
    </xf>
    <xf numFmtId="164" fontId="0" fillId="0" borderId="16" xfId="42" applyNumberFormat="1" applyFont="1" applyBorder="1" applyAlignment="1">
      <alignment horizontal="left"/>
    </xf>
    <xf numFmtId="164" fontId="0" fillId="0" borderId="16" xfId="42" applyNumberFormat="1" applyFont="1" applyFill="1" applyBorder="1" applyAlignment="1">
      <alignment horizontal="right"/>
    </xf>
    <xf numFmtId="3" fontId="0" fillId="0" borderId="16" xfId="0" applyNumberFormat="1" applyFont="1" applyFill="1" applyBorder="1" applyAlignment="1">
      <alignment horizontal="right"/>
    </xf>
    <xf numFmtId="3" fontId="0" fillId="0" borderId="16" xfId="0" applyNumberFormat="1" applyFont="1" applyFill="1" applyBorder="1" applyAlignment="1">
      <alignment/>
    </xf>
    <xf numFmtId="3" fontId="0" fillId="0" borderId="16" xfId="0" applyNumberFormat="1" applyFont="1" applyFill="1" applyBorder="1" applyAlignment="1">
      <alignment horizontal="center"/>
    </xf>
    <xf numFmtId="3" fontId="6" fillId="0" borderId="16" xfId="0" applyNumberFormat="1" applyFont="1" applyFill="1" applyBorder="1" applyAlignment="1">
      <alignment/>
    </xf>
    <xf numFmtId="3" fontId="0" fillId="0" borderId="26" xfId="0" applyNumberFormat="1" applyFont="1" applyFill="1" applyBorder="1" applyAlignment="1">
      <alignment/>
    </xf>
    <xf numFmtId="3" fontId="0" fillId="0" borderId="26"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0" fillId="0" borderId="27" xfId="0" applyFont="1" applyFill="1" applyBorder="1" applyAlignment="1">
      <alignment/>
    </xf>
    <xf numFmtId="2" fontId="0" fillId="0" borderId="0" xfId="0" applyNumberFormat="1" applyFont="1" applyFill="1" applyBorder="1" applyAlignment="1">
      <alignment/>
    </xf>
    <xf numFmtId="164" fontId="0" fillId="0" borderId="0" xfId="42" applyNumberFormat="1" applyFont="1" applyFill="1" applyBorder="1" applyAlignment="1">
      <alignment/>
    </xf>
    <xf numFmtId="0" fontId="3" fillId="0" borderId="28" xfId="0" applyFont="1" applyBorder="1" applyAlignment="1">
      <alignment horizontal="center"/>
    </xf>
    <xf numFmtId="0" fontId="3" fillId="0" borderId="0" xfId="0" applyFont="1" applyBorder="1" applyAlignment="1">
      <alignment horizontal="center"/>
    </xf>
    <xf numFmtId="4" fontId="0" fillId="0" borderId="27" xfId="0" applyNumberFormat="1" applyFont="1" applyBorder="1" applyAlignment="1">
      <alignment horizontal="right"/>
    </xf>
    <xf numFmtId="4" fontId="0" fillId="0" borderId="0" xfId="0" applyNumberFormat="1" applyFont="1" applyBorder="1" applyAlignment="1">
      <alignment horizontal="right"/>
    </xf>
    <xf numFmtId="4" fontId="0" fillId="0" borderId="0" xfId="0" applyNumberFormat="1" applyFont="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4" fontId="0" fillId="0" borderId="0" xfId="42" applyNumberFormat="1" applyFont="1" applyFill="1" applyBorder="1" applyAlignment="1">
      <alignment horizontal="right"/>
    </xf>
    <xf numFmtId="4" fontId="0" fillId="0" borderId="27" xfId="0" applyNumberFormat="1" applyFont="1" applyFill="1" applyBorder="1" applyAlignment="1">
      <alignment/>
    </xf>
    <xf numFmtId="4" fontId="0" fillId="0" borderId="27" xfId="0" applyNumberFormat="1" applyFont="1" applyFill="1" applyBorder="1" applyAlignment="1">
      <alignment horizontal="right"/>
    </xf>
    <xf numFmtId="4" fontId="0" fillId="0" borderId="27" xfId="42" applyNumberFormat="1" applyFont="1" applyFill="1" applyBorder="1" applyAlignment="1">
      <alignment horizontal="right"/>
    </xf>
    <xf numFmtId="0" fontId="3" fillId="0" borderId="11" xfId="0" applyFont="1" applyBorder="1" applyAlignment="1">
      <alignment horizontal="center"/>
    </xf>
    <xf numFmtId="0" fontId="3" fillId="0" borderId="0" xfId="0" applyFont="1" applyFill="1" applyBorder="1" applyAlignment="1">
      <alignment horizontal="center"/>
    </xf>
    <xf numFmtId="43" fontId="0" fillId="0" borderId="0" xfId="42" applyNumberFormat="1" applyFont="1" applyFill="1" applyBorder="1" applyAlignment="1">
      <alignment/>
    </xf>
    <xf numFmtId="3" fontId="0" fillId="0" borderId="0" xfId="0" applyNumberFormat="1" applyFont="1" applyFill="1" applyBorder="1" applyAlignment="1">
      <alignment/>
    </xf>
    <xf numFmtId="0" fontId="0" fillId="0" borderId="29" xfId="0" applyFont="1" applyBorder="1" applyAlignment="1">
      <alignment/>
    </xf>
    <xf numFmtId="3" fontId="0" fillId="0" borderId="0" xfId="42" applyNumberFormat="1" applyFont="1" applyFill="1" applyBorder="1" applyAlignment="1">
      <alignment/>
    </xf>
    <xf numFmtId="4" fontId="0" fillId="0" borderId="0" xfId="42"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Border="1" applyAlignment="1">
      <alignment/>
    </xf>
    <xf numFmtId="4" fontId="0" fillId="0" borderId="30" xfId="0" applyNumberFormat="1" applyFont="1" applyBorder="1" applyAlignment="1">
      <alignment horizontal="right"/>
    </xf>
    <xf numFmtId="0" fontId="0" fillId="0" borderId="27" xfId="0" applyFont="1" applyBorder="1" applyAlignment="1">
      <alignment/>
    </xf>
    <xf numFmtId="3" fontId="0" fillId="0" borderId="27" xfId="0" applyNumberFormat="1" applyFont="1" applyFill="1" applyBorder="1" applyAlignment="1">
      <alignment/>
    </xf>
    <xf numFmtId="0" fontId="0" fillId="0" borderId="27" xfId="0" applyFont="1" applyFill="1" applyBorder="1" applyAlignment="1">
      <alignment horizontal="center"/>
    </xf>
    <xf numFmtId="165" fontId="0" fillId="0" borderId="27" xfId="0" applyNumberFormat="1" applyFont="1" applyFill="1" applyBorder="1" applyAlignment="1">
      <alignment horizontal="right"/>
    </xf>
    <xf numFmtId="165" fontId="0" fillId="0" borderId="0" xfId="0" applyNumberFormat="1" applyFont="1" applyFill="1" applyBorder="1" applyAlignment="1">
      <alignment horizontal="right"/>
    </xf>
    <xf numFmtId="0" fontId="0" fillId="0" borderId="0" xfId="0" applyFont="1" applyFill="1" applyBorder="1" applyAlignment="1">
      <alignment horizontal="center"/>
    </xf>
    <xf numFmtId="164" fontId="0" fillId="0" borderId="0" xfId="0" applyNumberFormat="1" applyFont="1" applyBorder="1" applyAlignment="1">
      <alignment/>
    </xf>
    <xf numFmtId="0" fontId="0" fillId="0" borderId="11" xfId="0" applyFont="1" applyFill="1" applyBorder="1" applyAlignment="1">
      <alignment horizontal="center"/>
    </xf>
    <xf numFmtId="0" fontId="3" fillId="0" borderId="30" xfId="0" applyFont="1" applyFill="1" applyBorder="1" applyAlignment="1">
      <alignment horizontal="center"/>
    </xf>
    <xf numFmtId="3" fontId="3" fillId="0" borderId="11" xfId="0" applyNumberFormat="1" applyFont="1" applyFill="1" applyBorder="1" applyAlignment="1">
      <alignment/>
    </xf>
    <xf numFmtId="4" fontId="0" fillId="0" borderId="30" xfId="0" applyNumberFormat="1" applyFont="1" applyFill="1" applyBorder="1" applyAlignment="1">
      <alignment/>
    </xf>
    <xf numFmtId="0" fontId="0" fillId="0" borderId="31" xfId="0" applyFont="1" applyFill="1" applyBorder="1" applyAlignment="1">
      <alignment horizontal="center"/>
    </xf>
    <xf numFmtId="3" fontId="0" fillId="0" borderId="16" xfId="0" applyNumberFormat="1" applyFont="1" applyBorder="1" applyAlignment="1">
      <alignment horizontal="center"/>
    </xf>
    <xf numFmtId="4" fontId="0" fillId="0" borderId="30" xfId="0" applyNumberFormat="1" applyFont="1" applyFill="1" applyBorder="1" applyAlignment="1">
      <alignment horizontal="right"/>
    </xf>
    <xf numFmtId="4" fontId="0" fillId="0" borderId="30" xfId="42" applyNumberFormat="1" applyFont="1" applyFill="1" applyBorder="1" applyAlignment="1">
      <alignment horizontal="right"/>
    </xf>
    <xf numFmtId="0" fontId="0" fillId="0" borderId="30" xfId="0" applyFont="1" applyBorder="1" applyAlignment="1">
      <alignment/>
    </xf>
    <xf numFmtId="0" fontId="9" fillId="0" borderId="0" xfId="0" applyFont="1" applyBorder="1" applyAlignment="1">
      <alignment/>
    </xf>
    <xf numFmtId="167" fontId="0" fillId="0" borderId="0" xfId="42" applyNumberFormat="1" applyFont="1" applyFill="1" applyBorder="1" applyAlignment="1">
      <alignment/>
    </xf>
    <xf numFmtId="2" fontId="0" fillId="0" borderId="16" xfId="0" applyNumberFormat="1" applyFont="1" applyFill="1" applyBorder="1" applyAlignment="1">
      <alignment horizontal="center"/>
    </xf>
    <xf numFmtId="2" fontId="0" fillId="0" borderId="21" xfId="0" applyNumberFormat="1" applyFont="1" applyFill="1" applyBorder="1" applyAlignment="1">
      <alignment horizontal="center"/>
    </xf>
    <xf numFmtId="4" fontId="0" fillId="0" borderId="30" xfId="42" applyNumberFormat="1" applyFont="1" applyFill="1" applyBorder="1" applyAlignment="1">
      <alignment/>
    </xf>
    <xf numFmtId="4" fontId="0" fillId="0" borderId="27" xfId="42" applyNumberFormat="1" applyFont="1" applyFill="1" applyBorder="1" applyAlignment="1">
      <alignment/>
    </xf>
    <xf numFmtId="0" fontId="3" fillId="0" borderId="27" xfId="0" applyFont="1" applyFill="1" applyBorder="1" applyAlignment="1">
      <alignment horizontal="center"/>
    </xf>
    <xf numFmtId="0" fontId="0" fillId="0" borderId="30" xfId="0" applyFont="1" applyFill="1" applyBorder="1" applyAlignment="1">
      <alignment horizontal="center"/>
    </xf>
    <xf numFmtId="43" fontId="0" fillId="0" borderId="30" xfId="42" applyNumberFormat="1" applyFont="1" applyFill="1" applyBorder="1" applyAlignment="1">
      <alignment/>
    </xf>
    <xf numFmtId="43" fontId="0" fillId="0" borderId="0" xfId="0" applyNumberFormat="1" applyFont="1" applyFill="1" applyBorder="1" applyAlignment="1">
      <alignment/>
    </xf>
    <xf numFmtId="4" fontId="3" fillId="0" borderId="0" xfId="0" applyNumberFormat="1" applyFont="1" applyFill="1" applyBorder="1" applyAlignment="1">
      <alignment horizontal="center"/>
    </xf>
    <xf numFmtId="4" fontId="0" fillId="0" borderId="30" xfId="42" applyNumberFormat="1" applyFont="1" applyBorder="1" applyAlignment="1">
      <alignment/>
    </xf>
    <xf numFmtId="164" fontId="58" fillId="0" borderId="0" xfId="42" applyNumberFormat="1" applyFont="1" applyFill="1" applyBorder="1" applyAlignment="1">
      <alignment/>
    </xf>
    <xf numFmtId="164" fontId="58" fillId="0" borderId="0" xfId="42" applyNumberFormat="1" applyFont="1" applyBorder="1" applyAlignment="1">
      <alignment/>
    </xf>
    <xf numFmtId="0" fontId="3" fillId="0" borderId="17" xfId="0" applyFont="1" applyBorder="1" applyAlignment="1">
      <alignment/>
    </xf>
    <xf numFmtId="0" fontId="0" fillId="0" borderId="32" xfId="0" applyFont="1" applyBorder="1" applyAlignment="1">
      <alignment/>
    </xf>
    <xf numFmtId="0" fontId="3" fillId="0" borderId="0" xfId="0" applyFont="1" applyBorder="1" applyAlignment="1">
      <alignment/>
    </xf>
    <xf numFmtId="164" fontId="0" fillId="0" borderId="16" xfId="42" applyNumberFormat="1" applyFont="1" applyBorder="1" applyAlignment="1">
      <alignment horizontal="center"/>
    </xf>
    <xf numFmtId="164" fontId="0" fillId="0" borderId="16" xfId="42" applyNumberFormat="1" applyFont="1" applyFill="1" applyBorder="1" applyAlignment="1">
      <alignment horizontal="center"/>
    </xf>
    <xf numFmtId="165" fontId="0" fillId="0" borderId="16" xfId="0" applyNumberFormat="1" applyFont="1" applyFill="1" applyBorder="1" applyAlignment="1">
      <alignment horizontal="right"/>
    </xf>
    <xf numFmtId="167" fontId="0" fillId="0" borderId="16" xfId="42" applyNumberFormat="1" applyFont="1" applyFill="1" applyBorder="1" applyAlignment="1">
      <alignment horizontal="right"/>
    </xf>
    <xf numFmtId="43" fontId="0" fillId="0" borderId="16" xfId="42" applyNumberFormat="1" applyFont="1" applyFill="1" applyBorder="1" applyAlignment="1">
      <alignment horizontal="right"/>
    </xf>
    <xf numFmtId="2" fontId="0" fillId="0" borderId="16" xfId="0" applyNumberFormat="1" applyFont="1" applyBorder="1" applyAlignment="1">
      <alignment/>
    </xf>
    <xf numFmtId="166" fontId="0" fillId="0" borderId="16" xfId="42" applyNumberFormat="1" applyFont="1" applyFill="1" applyBorder="1" applyAlignment="1">
      <alignment horizontal="right"/>
    </xf>
    <xf numFmtId="3" fontId="0" fillId="0" borderId="30" xfId="0" applyNumberFormat="1" applyFont="1" applyBorder="1" applyAlignment="1">
      <alignment/>
    </xf>
    <xf numFmtId="167" fontId="0" fillId="0" borderId="16" xfId="42" applyNumberFormat="1" applyFont="1" applyBorder="1" applyAlignment="1">
      <alignment/>
    </xf>
    <xf numFmtId="167" fontId="0" fillId="0" borderId="16" xfId="42" applyNumberFormat="1" applyFont="1" applyFill="1" applyBorder="1" applyAlignment="1">
      <alignment/>
    </xf>
    <xf numFmtId="167" fontId="0" fillId="0" borderId="16" xfId="42" applyNumberFormat="1" applyFont="1" applyBorder="1" applyAlignment="1">
      <alignment horizontal="center"/>
    </xf>
    <xf numFmtId="164" fontId="0" fillId="0" borderId="16" xfId="0" applyNumberFormat="1" applyFont="1" applyBorder="1" applyAlignment="1">
      <alignment/>
    </xf>
    <xf numFmtId="43" fontId="0" fillId="0" borderId="16" xfId="42" applyNumberFormat="1" applyFont="1" applyFill="1" applyBorder="1" applyAlignment="1">
      <alignment/>
    </xf>
    <xf numFmtId="43" fontId="0" fillId="0" borderId="16" xfId="0" applyNumberFormat="1" applyFont="1" applyBorder="1" applyAlignment="1">
      <alignment/>
    </xf>
    <xf numFmtId="2" fontId="0" fillId="0" borderId="16" xfId="0" applyNumberFormat="1" applyFont="1" applyFill="1" applyBorder="1" applyAlignment="1">
      <alignment/>
    </xf>
    <xf numFmtId="165" fontId="0" fillId="0" borderId="16" xfId="0" applyNumberFormat="1" applyFont="1" applyFill="1" applyBorder="1" applyAlignment="1">
      <alignment/>
    </xf>
    <xf numFmtId="43" fontId="0" fillId="0" borderId="16" xfId="0" applyNumberFormat="1" applyFont="1" applyFill="1" applyBorder="1" applyAlignment="1">
      <alignment/>
    </xf>
    <xf numFmtId="3" fontId="0" fillId="0" borderId="16" xfId="0" applyNumberFormat="1" applyFont="1" applyBorder="1" applyAlignment="1">
      <alignment/>
    </xf>
    <xf numFmtId="3" fontId="0" fillId="0" borderId="16" xfId="0" applyNumberFormat="1" applyFont="1" applyFill="1" applyBorder="1" applyAlignment="1">
      <alignment/>
    </xf>
    <xf numFmtId="3" fontId="0" fillId="0" borderId="16" xfId="42" applyNumberFormat="1" applyFont="1" applyBorder="1" applyAlignment="1">
      <alignment/>
    </xf>
    <xf numFmtId="3" fontId="0" fillId="0" borderId="16" xfId="42" applyNumberFormat="1" applyFont="1" applyFill="1" applyBorder="1" applyAlignment="1">
      <alignment/>
    </xf>
    <xf numFmtId="164" fontId="0" fillId="0" borderId="16" xfId="42" applyNumberFormat="1" applyFont="1" applyBorder="1" applyAlignment="1">
      <alignment/>
    </xf>
    <xf numFmtId="43" fontId="0" fillId="0" borderId="16" xfId="42" applyFont="1" applyFill="1" applyBorder="1" applyAlignment="1">
      <alignment/>
    </xf>
    <xf numFmtId="164" fontId="0" fillId="0" borderId="16" xfId="0" applyNumberFormat="1" applyFont="1" applyFill="1" applyBorder="1" applyAlignment="1">
      <alignment/>
    </xf>
    <xf numFmtId="164" fontId="3" fillId="0" borderId="16" xfId="42" applyNumberFormat="1" applyFont="1" applyFill="1" applyBorder="1" applyAlignment="1">
      <alignment/>
    </xf>
    <xf numFmtId="170" fontId="0" fillId="0" borderId="16" xfId="42" applyNumberFormat="1" applyFont="1" applyFill="1" applyBorder="1" applyAlignment="1">
      <alignment/>
    </xf>
    <xf numFmtId="3" fontId="0" fillId="0" borderId="16" xfId="42" applyNumberFormat="1" applyFont="1" applyBorder="1" applyAlignment="1">
      <alignment/>
    </xf>
    <xf numFmtId="164" fontId="0" fillId="0" borderId="26" xfId="42" applyNumberFormat="1" applyFont="1" applyFill="1" applyBorder="1" applyAlignment="1">
      <alignment/>
    </xf>
    <xf numFmtId="3" fontId="0" fillId="0" borderId="26" xfId="42" applyNumberFormat="1" applyFont="1" applyFill="1" applyBorder="1" applyAlignment="1">
      <alignment/>
    </xf>
    <xf numFmtId="0" fontId="0" fillId="0" borderId="11" xfId="0" applyFont="1" applyBorder="1" applyAlignment="1">
      <alignment wrapText="1"/>
    </xf>
    <xf numFmtId="3" fontId="0" fillId="0" borderId="0" xfId="0" applyNumberFormat="1" applyFont="1" applyBorder="1" applyAlignment="1">
      <alignment wrapText="1"/>
    </xf>
    <xf numFmtId="3" fontId="0" fillId="0" borderId="0" xfId="0" applyNumberFormat="1" applyFont="1" applyFill="1" applyBorder="1" applyAlignment="1">
      <alignment wrapText="1"/>
    </xf>
    <xf numFmtId="164" fontId="0" fillId="0" borderId="11" xfId="42" applyNumberFormat="1" applyFont="1" applyFill="1" applyBorder="1" applyAlignment="1">
      <alignment/>
    </xf>
    <xf numFmtId="2" fontId="0" fillId="0" borderId="0" xfId="0" applyNumberFormat="1" applyFont="1" applyAlignment="1">
      <alignment/>
    </xf>
    <xf numFmtId="2" fontId="0" fillId="0" borderId="0" xfId="0" applyNumberFormat="1" applyFont="1" applyFill="1" applyAlignment="1">
      <alignment/>
    </xf>
    <xf numFmtId="0" fontId="3" fillId="0" borderId="33" xfId="0" applyFont="1" applyBorder="1" applyAlignment="1">
      <alignment horizontal="center"/>
    </xf>
    <xf numFmtId="0" fontId="3" fillId="0" borderId="27"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3" fillId="0" borderId="36" xfId="0" applyFont="1" applyBorder="1" applyAlignment="1">
      <alignment horizontal="center"/>
    </xf>
    <xf numFmtId="0" fontId="3" fillId="0" borderId="35" xfId="0" applyFont="1" applyBorder="1" applyAlignment="1">
      <alignment horizontal="center"/>
    </xf>
    <xf numFmtId="0" fontId="3" fillId="0" borderId="30" xfId="0" applyFont="1" applyBorder="1" applyAlignment="1">
      <alignment horizontal="center"/>
    </xf>
    <xf numFmtId="2" fontId="0" fillId="0" borderId="36" xfId="0" applyNumberFormat="1" applyFont="1" applyFill="1" applyBorder="1" applyAlignment="1">
      <alignment horizontal="center"/>
    </xf>
    <xf numFmtId="2" fontId="0" fillId="0" borderId="37" xfId="0" applyNumberFormat="1" applyFont="1" applyFill="1" applyBorder="1" applyAlignment="1">
      <alignment horizontal="center"/>
    </xf>
    <xf numFmtId="2" fontId="0" fillId="0" borderId="22" xfId="0" applyNumberFormat="1" applyFont="1" applyFill="1" applyBorder="1" applyAlignment="1">
      <alignment horizontal="center"/>
    </xf>
    <xf numFmtId="4" fontId="0" fillId="0" borderId="0" xfId="42" applyNumberFormat="1" applyFont="1" applyFill="1" applyBorder="1" applyAlignment="1">
      <alignment horizontal="center"/>
    </xf>
    <xf numFmtId="0" fontId="0" fillId="0" borderId="27" xfId="0" applyFont="1" applyBorder="1" applyAlignment="1">
      <alignment horizontal="left" indent="1"/>
    </xf>
    <xf numFmtId="0" fontId="0" fillId="0" borderId="36" xfId="0" applyFont="1" applyFill="1" applyBorder="1" applyAlignment="1">
      <alignment/>
    </xf>
    <xf numFmtId="0" fontId="0" fillId="0" borderId="36" xfId="0" applyFont="1" applyFill="1" applyBorder="1" applyAlignment="1">
      <alignment horizontal="center"/>
    </xf>
    <xf numFmtId="0" fontId="3" fillId="0" borderId="37" xfId="0" applyFont="1" applyBorder="1" applyAlignment="1">
      <alignment horizontal="center"/>
    </xf>
    <xf numFmtId="2" fontId="0" fillId="0" borderId="13" xfId="0" applyNumberFormat="1" applyFont="1" applyFill="1" applyBorder="1" applyAlignment="1">
      <alignment horizontal="center"/>
    </xf>
    <xf numFmtId="43" fontId="0" fillId="0" borderId="0" xfId="42" applyNumberFormat="1" applyFont="1" applyFill="1" applyBorder="1" applyAlignment="1">
      <alignment horizontal="center"/>
    </xf>
    <xf numFmtId="2" fontId="0" fillId="0" borderId="36" xfId="0" applyNumberFormat="1" applyFont="1" applyBorder="1" applyAlignment="1">
      <alignment horizontal="center"/>
    </xf>
    <xf numFmtId="2" fontId="0" fillId="0" borderId="37" xfId="0" applyNumberFormat="1" applyFont="1" applyBorder="1" applyAlignment="1">
      <alignment horizontal="center"/>
    </xf>
    <xf numFmtId="0" fontId="3" fillId="0" borderId="37" xfId="0" applyFont="1" applyFill="1" applyBorder="1" applyAlignment="1">
      <alignment horizontal="center"/>
    </xf>
    <xf numFmtId="165" fontId="0" fillId="0" borderId="0" xfId="0" applyNumberFormat="1" applyFont="1" applyFill="1" applyBorder="1" applyAlignment="1">
      <alignment horizontal="center"/>
    </xf>
    <xf numFmtId="165" fontId="0" fillId="0" borderId="0" xfId="0" applyNumberFormat="1" applyFont="1" applyBorder="1" applyAlignment="1">
      <alignment horizontal="right"/>
    </xf>
    <xf numFmtId="165" fontId="0" fillId="0" borderId="30" xfId="0" applyNumberFormat="1" applyFont="1" applyBorder="1" applyAlignment="1">
      <alignment horizontal="right"/>
    </xf>
    <xf numFmtId="0" fontId="59" fillId="0" borderId="0" xfId="0" applyFont="1" applyBorder="1" applyAlignment="1">
      <alignment horizontal="right"/>
    </xf>
    <xf numFmtId="3" fontId="58" fillId="0" borderId="16" xfId="0" applyNumberFormat="1" applyFont="1" applyBorder="1" applyAlignment="1">
      <alignment horizontal="right"/>
    </xf>
    <xf numFmtId="164" fontId="58" fillId="0" borderId="16" xfId="42" applyNumberFormat="1" applyFont="1" applyBorder="1" applyAlignment="1">
      <alignment horizontal="right"/>
    </xf>
    <xf numFmtId="164" fontId="58" fillId="0" borderId="16" xfId="42" applyNumberFormat="1" applyFont="1" applyFill="1" applyBorder="1" applyAlignment="1">
      <alignment horizontal="right"/>
    </xf>
    <xf numFmtId="3" fontId="58" fillId="0" borderId="16" xfId="42" applyNumberFormat="1" applyFont="1" applyFill="1" applyBorder="1" applyAlignment="1">
      <alignment horizontal="right"/>
    </xf>
    <xf numFmtId="0" fontId="58" fillId="0" borderId="0" xfId="0" applyFont="1" applyAlignment="1">
      <alignment/>
    </xf>
    <xf numFmtId="3" fontId="58" fillId="0" borderId="16" xfId="42" applyNumberFormat="1" applyFont="1" applyBorder="1" applyAlignment="1">
      <alignment horizontal="right"/>
    </xf>
    <xf numFmtId="3" fontId="58" fillId="0" borderId="16" xfId="0" applyNumberFormat="1" applyFont="1" applyBorder="1" applyAlignment="1">
      <alignment/>
    </xf>
    <xf numFmtId="3" fontId="58" fillId="0" borderId="16" xfId="0" applyNumberFormat="1" applyFont="1" applyFill="1" applyBorder="1" applyAlignment="1">
      <alignment/>
    </xf>
    <xf numFmtId="3" fontId="58" fillId="0" borderId="0" xfId="0" applyNumberFormat="1" applyFont="1" applyBorder="1" applyAlignment="1">
      <alignment/>
    </xf>
    <xf numFmtId="0" fontId="58" fillId="0" borderId="16" xfId="0" applyFont="1" applyBorder="1" applyAlignment="1">
      <alignment horizontal="right"/>
    </xf>
    <xf numFmtId="3" fontId="58" fillId="0" borderId="16" xfId="0" applyNumberFormat="1" applyFont="1" applyBorder="1" applyAlignment="1">
      <alignment/>
    </xf>
    <xf numFmtId="3" fontId="58" fillId="0" borderId="16" xfId="0" applyNumberFormat="1" applyFont="1" applyFill="1" applyBorder="1" applyAlignment="1">
      <alignment/>
    </xf>
    <xf numFmtId="169" fontId="58" fillId="0" borderId="16" xfId="0" applyNumberFormat="1" applyFont="1" applyBorder="1" applyAlignment="1">
      <alignment/>
    </xf>
    <xf numFmtId="169" fontId="58" fillId="0" borderId="16" xfId="0" applyNumberFormat="1" applyFont="1" applyFill="1" applyBorder="1" applyAlignment="1">
      <alignment/>
    </xf>
    <xf numFmtId="0" fontId="59" fillId="0" borderId="0" xfId="0" applyFont="1" applyAlignment="1">
      <alignment horizontal="right"/>
    </xf>
    <xf numFmtId="169" fontId="58" fillId="0" borderId="16" xfId="0" applyNumberFormat="1" applyFont="1" applyFill="1" applyBorder="1" applyAlignment="1">
      <alignment/>
    </xf>
    <xf numFmtId="0" fontId="0" fillId="0" borderId="16" xfId="0" applyFont="1" applyBorder="1" applyAlignment="1">
      <alignment horizontal="left" vertical="top" wrapText="1"/>
    </xf>
    <xf numFmtId="0" fontId="0" fillId="0" borderId="16" xfId="0" applyFont="1" applyFill="1" applyBorder="1" applyAlignment="1">
      <alignment horizontal="left" vertical="top" wrapText="1"/>
    </xf>
    <xf numFmtId="166" fontId="0" fillId="0" borderId="27" xfId="42" applyNumberFormat="1" applyFont="1" applyFill="1" applyBorder="1" applyAlignment="1">
      <alignment/>
    </xf>
    <xf numFmtId="166" fontId="0" fillId="0" borderId="0" xfId="42" applyNumberFormat="1" applyFont="1" applyFill="1" applyBorder="1" applyAlignment="1">
      <alignment/>
    </xf>
    <xf numFmtId="3" fontId="58" fillId="0" borderId="16" xfId="42" applyNumberFormat="1" applyFont="1" applyFill="1" applyBorder="1" applyAlignment="1">
      <alignment/>
    </xf>
    <xf numFmtId="3" fontId="58" fillId="0" borderId="16" xfId="42" applyNumberFormat="1" applyFont="1" applyBorder="1" applyAlignment="1">
      <alignment/>
    </xf>
    <xf numFmtId="166" fontId="0" fillId="0" borderId="30" xfId="42" applyNumberFormat="1" applyFont="1" applyFill="1" applyBorder="1" applyAlignment="1">
      <alignment/>
    </xf>
    <xf numFmtId="0" fontId="0" fillId="0" borderId="0" xfId="0" applyFont="1" applyAlignment="1">
      <alignment vertical="center"/>
    </xf>
    <xf numFmtId="0" fontId="3" fillId="0" borderId="18" xfId="0" applyFont="1" applyBorder="1" applyAlignment="1">
      <alignment horizontal="center" vertical="center"/>
    </xf>
    <xf numFmtId="16" fontId="3" fillId="0" borderId="18" xfId="0" applyNumberFormat="1" applyFont="1" applyBorder="1" applyAlignment="1">
      <alignment horizontal="center" vertical="center"/>
    </xf>
    <xf numFmtId="0" fontId="0" fillId="0" borderId="0" xfId="0" applyFont="1" applyAlignment="1">
      <alignment vertical="center"/>
    </xf>
    <xf numFmtId="168" fontId="3" fillId="0" borderId="10" xfId="0" applyNumberFormat="1" applyFont="1" applyBorder="1" applyAlignment="1">
      <alignment horizontal="center" vertical="center"/>
    </xf>
    <xf numFmtId="0" fontId="4" fillId="0" borderId="27" xfId="0" applyFont="1" applyBorder="1" applyAlignment="1">
      <alignment/>
    </xf>
    <xf numFmtId="0" fontId="0" fillId="0" borderId="27" xfId="0" applyFont="1" applyFill="1" applyBorder="1" applyAlignment="1">
      <alignment horizontal="left"/>
    </xf>
    <xf numFmtId="0" fontId="3" fillId="0" borderId="27" xfId="0" applyFont="1" applyFill="1" applyBorder="1" applyAlignment="1">
      <alignment horizontal="left" indent="1"/>
    </xf>
    <xf numFmtId="0" fontId="0" fillId="0" borderId="27" xfId="0" applyFont="1" applyFill="1" applyBorder="1" applyAlignment="1">
      <alignment horizontal="left" indent="1"/>
    </xf>
    <xf numFmtId="0" fontId="0" fillId="0" borderId="27" xfId="0" applyFont="1" applyFill="1" applyBorder="1" applyAlignment="1">
      <alignment horizontal="left" indent="2"/>
    </xf>
    <xf numFmtId="0" fontId="3" fillId="0" borderId="27" xfId="0" applyFont="1" applyBorder="1" applyAlignment="1">
      <alignment horizontal="left"/>
    </xf>
    <xf numFmtId="0" fontId="0" fillId="0" borderId="27" xfId="0" applyFont="1" applyBorder="1" applyAlignment="1">
      <alignment horizontal="left"/>
    </xf>
    <xf numFmtId="0" fontId="0" fillId="0" borderId="27" xfId="0" applyFont="1" applyBorder="1" applyAlignment="1">
      <alignment horizontal="left" indent="2"/>
    </xf>
    <xf numFmtId="0" fontId="58" fillId="0" borderId="27" xfId="0" applyFont="1" applyBorder="1" applyAlignment="1">
      <alignment horizontal="left" indent="1"/>
    </xf>
    <xf numFmtId="0" fontId="0" fillId="0" borderId="27" xfId="0" applyFont="1" applyFill="1" applyBorder="1" applyAlignment="1">
      <alignment horizontal="left" indent="3"/>
    </xf>
    <xf numFmtId="0" fontId="58" fillId="0" borderId="27" xfId="0" applyFont="1" applyBorder="1" applyAlignment="1">
      <alignment/>
    </xf>
    <xf numFmtId="0" fontId="58" fillId="0" borderId="27" xfId="0" applyFont="1" applyFill="1" applyBorder="1" applyAlignment="1">
      <alignment/>
    </xf>
    <xf numFmtId="164" fontId="0" fillId="0" borderId="27" xfId="42" applyNumberFormat="1" applyFont="1" applyBorder="1" applyAlignment="1">
      <alignment horizontal="left"/>
    </xf>
    <xf numFmtId="0" fontId="0" fillId="0" borderId="27" xfId="0" applyFont="1" applyBorder="1" applyAlignment="1">
      <alignment horizontal="left" indent="4"/>
    </xf>
    <xf numFmtId="0" fontId="0" fillId="0" borderId="27" xfId="0" applyFont="1" applyBorder="1" applyAlignment="1">
      <alignment/>
    </xf>
    <xf numFmtId="0" fontId="3" fillId="0" borderId="27" xfId="0" applyFont="1" applyBorder="1" applyAlignment="1">
      <alignment horizontal="left" indent="1"/>
    </xf>
    <xf numFmtId="0" fontId="13" fillId="0" borderId="27" xfId="0" applyFont="1" applyFill="1" applyBorder="1" applyAlignment="1">
      <alignment/>
    </xf>
    <xf numFmtId="0" fontId="3" fillId="0" borderId="27" xfId="0" applyFont="1" applyFill="1" applyBorder="1" applyAlignment="1">
      <alignment wrapText="1"/>
    </xf>
    <xf numFmtId="0" fontId="0" fillId="0" borderId="32" xfId="0" applyFont="1" applyFill="1" applyBorder="1" applyAlignment="1">
      <alignment/>
    </xf>
    <xf numFmtId="0" fontId="3" fillId="0" borderId="18" xfId="0" applyFont="1" applyFill="1" applyBorder="1" applyAlignment="1">
      <alignment horizontal="center" vertical="center"/>
    </xf>
    <xf numFmtId="164" fontId="60" fillId="0" borderId="16" xfId="42" applyNumberFormat="1" applyFont="1" applyBorder="1" applyAlignment="1">
      <alignment horizontal="center" vertical="center" readingOrder="1"/>
    </xf>
    <xf numFmtId="167" fontId="5" fillId="0" borderId="16" xfId="42" applyNumberFormat="1" applyFont="1" applyFill="1" applyBorder="1" applyAlignment="1">
      <alignment horizontal="center" vertical="center" readingOrder="1"/>
    </xf>
    <xf numFmtId="166" fontId="0" fillId="0" borderId="16" xfId="0" applyNumberFormat="1" applyFont="1" applyBorder="1" applyAlignment="1">
      <alignment/>
    </xf>
    <xf numFmtId="166" fontId="0" fillId="0" borderId="16" xfId="0" applyNumberFormat="1" applyFont="1" applyFill="1" applyBorder="1" applyAlignment="1">
      <alignment/>
    </xf>
    <xf numFmtId="167" fontId="61" fillId="0" borderId="16" xfId="42" applyNumberFormat="1" applyFont="1" applyFill="1" applyBorder="1" applyAlignment="1">
      <alignment/>
    </xf>
    <xf numFmtId="43" fontId="5" fillId="0" borderId="16" xfId="42" applyNumberFormat="1" applyFont="1" applyBorder="1" applyAlignment="1">
      <alignment horizontal="center" vertical="center" readingOrder="1"/>
    </xf>
    <xf numFmtId="43" fontId="3" fillId="0" borderId="16" xfId="42" applyNumberFormat="1" applyFont="1" applyFill="1" applyBorder="1" applyAlignment="1">
      <alignment/>
    </xf>
    <xf numFmtId="4" fontId="0" fillId="0" borderId="16" xfId="0" applyNumberFormat="1" applyFont="1" applyBorder="1" applyAlignment="1">
      <alignment/>
    </xf>
    <xf numFmtId="1" fontId="0" fillId="0" borderId="16" xfId="0" applyNumberFormat="1" applyFont="1" applyFill="1" applyBorder="1" applyAlignment="1">
      <alignment/>
    </xf>
    <xf numFmtId="4" fontId="0" fillId="0" borderId="16" xfId="0" applyNumberFormat="1" applyFont="1" applyFill="1" applyBorder="1" applyAlignment="1">
      <alignment/>
    </xf>
    <xf numFmtId="165" fontId="0" fillId="0" borderId="16" xfId="0" applyNumberFormat="1" applyFont="1" applyBorder="1" applyAlignment="1">
      <alignment horizontal="center"/>
    </xf>
    <xf numFmtId="171" fontId="0" fillId="0" borderId="16" xfId="42" applyNumberFormat="1" applyFont="1" applyFill="1" applyBorder="1" applyAlignment="1">
      <alignment/>
    </xf>
    <xf numFmtId="3" fontId="0" fillId="0" borderId="16" xfId="42" applyNumberFormat="1" applyFont="1" applyFill="1" applyBorder="1" applyAlignment="1">
      <alignment/>
    </xf>
    <xf numFmtId="164" fontId="0" fillId="0" borderId="16" xfId="42" applyNumberFormat="1" applyFont="1" applyFill="1" applyBorder="1" applyAlignment="1">
      <alignment/>
    </xf>
    <xf numFmtId="164" fontId="0" fillId="0" borderId="16" xfId="42" applyNumberFormat="1" applyFont="1" applyFill="1" applyBorder="1" applyAlignment="1">
      <alignment readingOrder="1"/>
    </xf>
    <xf numFmtId="164" fontId="58" fillId="0" borderId="16" xfId="42" applyNumberFormat="1" applyFont="1" applyFill="1" applyBorder="1" applyAlignment="1">
      <alignment/>
    </xf>
    <xf numFmtId="3" fontId="58" fillId="0" borderId="16" xfId="42" applyNumberFormat="1" applyFont="1" applyFill="1" applyBorder="1" applyAlignment="1">
      <alignment/>
    </xf>
    <xf numFmtId="164" fontId="58" fillId="0" borderId="16" xfId="42" applyNumberFormat="1" applyFont="1" applyBorder="1" applyAlignment="1">
      <alignment/>
    </xf>
    <xf numFmtId="164" fontId="58" fillId="0" borderId="16" xfId="42" applyNumberFormat="1" applyFont="1" applyFill="1" applyBorder="1" applyAlignment="1">
      <alignment/>
    </xf>
    <xf numFmtId="164" fontId="58" fillId="0" borderId="16" xfId="42" applyNumberFormat="1" applyFont="1" applyFill="1" applyBorder="1" applyAlignment="1">
      <alignment readingOrder="1"/>
    </xf>
    <xf numFmtId="164" fontId="62" fillId="0" borderId="16" xfId="42" applyNumberFormat="1" applyFont="1" applyFill="1" applyBorder="1" applyAlignment="1">
      <alignment/>
    </xf>
    <xf numFmtId="164" fontId="63" fillId="0" borderId="16" xfId="42" applyNumberFormat="1" applyFont="1" applyFill="1" applyBorder="1" applyAlignment="1">
      <alignment/>
    </xf>
    <xf numFmtId="164" fontId="61" fillId="0" borderId="16" xfId="42" applyNumberFormat="1" applyFont="1" applyFill="1" applyBorder="1" applyAlignment="1">
      <alignment/>
    </xf>
    <xf numFmtId="1" fontId="0" fillId="0" borderId="16" xfId="42" applyNumberFormat="1" applyFont="1" applyBorder="1" applyAlignment="1">
      <alignment/>
    </xf>
    <xf numFmtId="1" fontId="0" fillId="0" borderId="16" xfId="42" applyNumberFormat="1" applyFont="1" applyFill="1" applyBorder="1" applyAlignment="1">
      <alignment/>
    </xf>
    <xf numFmtId="172" fontId="0" fillId="0" borderId="16" xfId="42" applyNumberFormat="1" applyFont="1" applyBorder="1" applyAlignment="1">
      <alignment/>
    </xf>
    <xf numFmtId="3" fontId="58" fillId="0" borderId="16" xfId="0" applyNumberFormat="1" applyFont="1" applyFill="1" applyBorder="1" applyAlignment="1">
      <alignment horizontal="right"/>
    </xf>
    <xf numFmtId="164" fontId="58" fillId="0" borderId="16" xfId="42" applyNumberFormat="1" applyFont="1" applyFill="1" applyBorder="1" applyAlignment="1">
      <alignment horizontal="center"/>
    </xf>
    <xf numFmtId="164" fontId="58" fillId="0" borderId="16" xfId="42" applyNumberFormat="1" applyFont="1" applyBorder="1" applyAlignment="1">
      <alignment horizontal="center"/>
    </xf>
    <xf numFmtId="164" fontId="12" fillId="0" borderId="16" xfId="0" applyNumberFormat="1" applyFont="1" applyFill="1" applyBorder="1" applyAlignment="1">
      <alignment/>
    </xf>
    <xf numFmtId="164" fontId="0" fillId="0" borderId="26" xfId="42" applyNumberFormat="1" applyFont="1" applyFill="1" applyBorder="1" applyAlignment="1">
      <alignment horizontal="right"/>
    </xf>
    <xf numFmtId="3" fontId="0" fillId="0" borderId="26" xfId="0" applyNumberFormat="1" applyFont="1" applyBorder="1" applyAlignment="1">
      <alignment/>
    </xf>
    <xf numFmtId="164" fontId="0" fillId="0" borderId="26" xfId="42" applyNumberFormat="1" applyFont="1" applyBorder="1" applyAlignment="1">
      <alignment/>
    </xf>
    <xf numFmtId="0" fontId="0" fillId="0" borderId="15" xfId="0" applyFont="1" applyFill="1" applyBorder="1" applyAlignment="1">
      <alignment horizontal="center"/>
    </xf>
    <xf numFmtId="4" fontId="0" fillId="0" borderId="16" xfId="42" applyNumberFormat="1" applyFont="1" applyFill="1" applyBorder="1" applyAlignment="1">
      <alignment/>
    </xf>
    <xf numFmtId="166" fontId="0" fillId="0" borderId="16" xfId="42" applyNumberFormat="1" applyFont="1" applyFill="1" applyBorder="1" applyAlignment="1">
      <alignment/>
    </xf>
    <xf numFmtId="164" fontId="58" fillId="0" borderId="30" xfId="42" applyNumberFormat="1" applyFont="1" applyFill="1" applyBorder="1" applyAlignment="1">
      <alignment/>
    </xf>
    <xf numFmtId="164" fontId="0" fillId="0" borderId="27" xfId="42" applyNumberFormat="1" applyFont="1" applyBorder="1" applyAlignment="1">
      <alignment/>
    </xf>
    <xf numFmtId="0" fontId="3" fillId="0" borderId="10" xfId="0" applyFont="1" applyBorder="1" applyAlignment="1">
      <alignment horizontal="center" vertical="center"/>
    </xf>
    <xf numFmtId="0" fontId="3" fillId="0" borderId="17" xfId="0" applyFont="1" applyBorder="1" applyAlignment="1">
      <alignment horizontal="center" vertical="center"/>
    </xf>
    <xf numFmtId="164" fontId="60" fillId="0" borderId="27" xfId="42" applyNumberFormat="1" applyFont="1" applyBorder="1" applyAlignment="1">
      <alignment horizontal="center" vertical="center" readingOrder="1"/>
    </xf>
    <xf numFmtId="164" fontId="60" fillId="0" borderId="0" xfId="42" applyNumberFormat="1" applyFont="1" applyBorder="1" applyAlignment="1">
      <alignment horizontal="center" vertical="center" readingOrder="1"/>
    </xf>
    <xf numFmtId="167" fontId="0" fillId="0" borderId="27" xfId="42" applyNumberFormat="1" applyFont="1" applyFill="1" applyBorder="1" applyAlignment="1">
      <alignment/>
    </xf>
    <xf numFmtId="164" fontId="5" fillId="0" borderId="27" xfId="42" applyNumberFormat="1" applyFont="1" applyBorder="1" applyAlignment="1">
      <alignment horizontal="center" vertical="center" readingOrder="1"/>
    </xf>
    <xf numFmtId="164" fontId="5" fillId="0" borderId="0" xfId="42" applyNumberFormat="1" applyFont="1" applyBorder="1" applyAlignment="1">
      <alignment horizontal="center" vertical="center" readingOrder="1"/>
    </xf>
    <xf numFmtId="165" fontId="0" fillId="0" borderId="27" xfId="0" applyNumberFormat="1" applyFont="1" applyBorder="1" applyAlignment="1">
      <alignment/>
    </xf>
    <xf numFmtId="43" fontId="3" fillId="0" borderId="27" xfId="42" applyNumberFormat="1" applyFont="1" applyFill="1" applyBorder="1" applyAlignment="1">
      <alignment/>
    </xf>
    <xf numFmtId="43" fontId="3" fillId="0" borderId="0" xfId="42" applyNumberFormat="1" applyFont="1" applyFill="1" applyBorder="1" applyAlignment="1">
      <alignment/>
    </xf>
    <xf numFmtId="164" fontId="3" fillId="0" borderId="27" xfId="42" applyNumberFormat="1" applyFont="1" applyFill="1" applyBorder="1" applyAlignment="1">
      <alignment/>
    </xf>
    <xf numFmtId="164" fontId="3" fillId="0" borderId="0" xfId="42" applyNumberFormat="1" applyFont="1" applyFill="1" applyBorder="1" applyAlignment="1">
      <alignment/>
    </xf>
    <xf numFmtId="2" fontId="0" fillId="0" borderId="27" xfId="0" applyNumberFormat="1" applyFont="1" applyBorder="1" applyAlignment="1">
      <alignment/>
    </xf>
    <xf numFmtId="164" fontId="0" fillId="0" borderId="27" xfId="42" applyNumberFormat="1" applyFont="1" applyFill="1" applyBorder="1" applyAlignment="1">
      <alignment/>
    </xf>
    <xf numFmtId="164" fontId="0" fillId="0" borderId="30" xfId="42" applyNumberFormat="1" applyFont="1" applyFill="1" applyBorder="1" applyAlignment="1">
      <alignment/>
    </xf>
    <xf numFmtId="3" fontId="0" fillId="0" borderId="27" xfId="0" applyNumberFormat="1" applyFont="1" applyBorder="1" applyAlignment="1">
      <alignment/>
    </xf>
    <xf numFmtId="43" fontId="0" fillId="0" borderId="27" xfId="42" applyNumberFormat="1" applyFont="1" applyFill="1" applyBorder="1" applyAlignment="1">
      <alignment/>
    </xf>
    <xf numFmtId="165" fontId="0" fillId="0" borderId="27" xfId="0" applyNumberFormat="1" applyFont="1" applyFill="1" applyBorder="1" applyAlignment="1">
      <alignment/>
    </xf>
    <xf numFmtId="165" fontId="0" fillId="0" borderId="0" xfId="0" applyNumberFormat="1" applyFont="1" applyFill="1" applyBorder="1" applyAlignment="1">
      <alignment/>
    </xf>
    <xf numFmtId="164" fontId="0" fillId="0" borderId="27" xfId="0" applyNumberFormat="1" applyFont="1" applyFill="1" applyBorder="1" applyAlignment="1">
      <alignment/>
    </xf>
    <xf numFmtId="164" fontId="0" fillId="0" borderId="0" xfId="0" applyNumberFormat="1" applyFont="1" applyFill="1" applyBorder="1" applyAlignment="1">
      <alignment/>
    </xf>
    <xf numFmtId="2" fontId="0" fillId="0" borderId="27" xfId="0" applyNumberFormat="1" applyFont="1" applyFill="1" applyBorder="1" applyAlignment="1">
      <alignment/>
    </xf>
    <xf numFmtId="3" fontId="0" fillId="0" borderId="27" xfId="42" applyNumberFormat="1" applyFont="1" applyFill="1" applyBorder="1" applyAlignment="1">
      <alignment/>
    </xf>
    <xf numFmtId="3" fontId="0" fillId="0" borderId="30" xfId="0" applyNumberFormat="1" applyFont="1" applyFill="1" applyBorder="1" applyAlignment="1">
      <alignment/>
    </xf>
    <xf numFmtId="164" fontId="58" fillId="0" borderId="27" xfId="42" applyNumberFormat="1" applyFont="1" applyFill="1" applyBorder="1" applyAlignment="1">
      <alignment/>
    </xf>
    <xf numFmtId="164" fontId="61" fillId="0" borderId="27" xfId="42" applyNumberFormat="1" applyFont="1" applyFill="1" applyBorder="1" applyAlignment="1">
      <alignment/>
    </xf>
    <xf numFmtId="164" fontId="61" fillId="0" borderId="0" xfId="42" applyNumberFormat="1" applyFont="1" applyFill="1" applyBorder="1" applyAlignment="1">
      <alignment/>
    </xf>
    <xf numFmtId="3" fontId="58" fillId="0" borderId="27" xfId="0" applyNumberFormat="1" applyFont="1" applyBorder="1" applyAlignment="1">
      <alignment/>
    </xf>
    <xf numFmtId="164" fontId="0" fillId="0" borderId="27" xfId="42" applyNumberFormat="1" applyFont="1" applyFill="1" applyBorder="1" applyAlignment="1">
      <alignment horizontal="right"/>
    </xf>
    <xf numFmtId="164" fontId="12" fillId="33" borderId="0" xfId="42" applyNumberFormat="1" applyFont="1" applyFill="1" applyBorder="1" applyAlignment="1">
      <alignment/>
    </xf>
    <xf numFmtId="164" fontId="12" fillId="33" borderId="29" xfId="42" applyNumberFormat="1" applyFont="1" applyFill="1" applyBorder="1" applyAlignment="1">
      <alignment/>
    </xf>
    <xf numFmtId="168" fontId="3" fillId="0" borderId="25" xfId="0" applyNumberFormat="1" applyFont="1" applyBorder="1" applyAlignment="1">
      <alignment horizontal="center" vertical="center"/>
    </xf>
    <xf numFmtId="164" fontId="60" fillId="0" borderId="0" xfId="42" applyNumberFormat="1" applyFont="1" applyFill="1" applyBorder="1" applyAlignment="1">
      <alignment horizontal="center" vertical="center" readingOrder="1"/>
    </xf>
    <xf numFmtId="164" fontId="5" fillId="0" borderId="0" xfId="42" applyNumberFormat="1" applyFont="1" applyFill="1" applyBorder="1" applyAlignment="1">
      <alignment horizontal="center" vertical="center" readingOrder="1"/>
    </xf>
    <xf numFmtId="3" fontId="58" fillId="0" borderId="0" xfId="0" applyNumberFormat="1" applyFont="1" applyFill="1" applyBorder="1" applyAlignment="1">
      <alignment/>
    </xf>
    <xf numFmtId="0" fontId="3" fillId="0" borderId="25" xfId="0" applyFont="1" applyBorder="1" applyAlignment="1">
      <alignment horizontal="center" vertical="center"/>
    </xf>
    <xf numFmtId="0" fontId="0" fillId="0" borderId="28" xfId="0" applyFont="1" applyFill="1" applyBorder="1" applyAlignment="1">
      <alignment horizontal="center"/>
    </xf>
    <xf numFmtId="3" fontId="58" fillId="0" borderId="27" xfId="0" applyNumberFormat="1" applyFont="1" applyFill="1" applyBorder="1" applyAlignment="1">
      <alignment/>
    </xf>
    <xf numFmtId="0" fontId="0" fillId="0" borderId="0" xfId="0" applyBorder="1" applyAlignment="1">
      <alignment/>
    </xf>
    <xf numFmtId="2" fontId="0" fillId="0" borderId="38" xfId="0" applyNumberFormat="1" applyFont="1" applyBorder="1" applyAlignment="1">
      <alignment horizontal="center"/>
    </xf>
    <xf numFmtId="2" fontId="0" fillId="0" borderId="39" xfId="0" applyNumberFormat="1" applyFont="1" applyBorder="1" applyAlignment="1">
      <alignment horizontal="center"/>
    </xf>
    <xf numFmtId="2" fontId="0" fillId="0" borderId="26" xfId="0" applyNumberFormat="1" applyFont="1" applyBorder="1" applyAlignment="1">
      <alignment horizontal="center"/>
    </xf>
    <xf numFmtId="2" fontId="0" fillId="0" borderId="40" xfId="0" applyNumberFormat="1" applyFont="1" applyBorder="1" applyAlignment="1">
      <alignment horizontal="center"/>
    </xf>
    <xf numFmtId="2" fontId="0" fillId="0" borderId="29" xfId="0" applyNumberFormat="1" applyFont="1" applyBorder="1" applyAlignment="1">
      <alignment horizontal="center"/>
    </xf>
    <xf numFmtId="2" fontId="0" fillId="0" borderId="29" xfId="0" applyNumberFormat="1" applyFont="1" applyFill="1" applyBorder="1" applyAlignment="1">
      <alignment horizontal="center"/>
    </xf>
    <xf numFmtId="2" fontId="0" fillId="0" borderId="41" xfId="0" applyNumberFormat="1" applyFont="1" applyFill="1" applyBorder="1" applyAlignment="1">
      <alignment horizontal="center"/>
    </xf>
    <xf numFmtId="2" fontId="0" fillId="0" borderId="42" xfId="0" applyNumberFormat="1" applyFont="1" applyFill="1" applyBorder="1" applyAlignment="1">
      <alignment horizontal="center"/>
    </xf>
    <xf numFmtId="4" fontId="0" fillId="0" borderId="29" xfId="42" applyNumberFormat="1" applyFont="1" applyFill="1" applyBorder="1" applyAlignment="1">
      <alignment horizontal="center"/>
    </xf>
    <xf numFmtId="43" fontId="0" fillId="0" borderId="29" xfId="42" applyNumberFormat="1" applyFont="1" applyFill="1" applyBorder="1" applyAlignment="1">
      <alignment/>
    </xf>
    <xf numFmtId="43" fontId="0" fillId="0" borderId="29" xfId="42" applyNumberFormat="1" applyFont="1" applyFill="1" applyBorder="1" applyAlignment="1">
      <alignment horizontal="center"/>
    </xf>
    <xf numFmtId="4" fontId="0" fillId="0" borderId="29" xfId="0" applyNumberFormat="1" applyFont="1" applyFill="1" applyBorder="1" applyAlignment="1">
      <alignment/>
    </xf>
    <xf numFmtId="4" fontId="0" fillId="0" borderId="43" xfId="0" applyNumberFormat="1" applyFont="1" applyFill="1" applyBorder="1" applyAlignment="1">
      <alignment/>
    </xf>
    <xf numFmtId="4" fontId="0" fillId="0" borderId="32" xfId="0" applyNumberFormat="1" applyFont="1" applyFill="1" applyBorder="1" applyAlignment="1">
      <alignment/>
    </xf>
    <xf numFmtId="43" fontId="0" fillId="0" borderId="43" xfId="42" applyNumberFormat="1" applyFont="1" applyFill="1" applyBorder="1" applyAlignment="1">
      <alignment/>
    </xf>
    <xf numFmtId="43" fontId="0" fillId="0" borderId="32" xfId="42" applyNumberFormat="1" applyFont="1" applyFill="1" applyBorder="1" applyAlignment="1">
      <alignment/>
    </xf>
    <xf numFmtId="4" fontId="0" fillId="0" borderId="29" xfId="42" applyNumberFormat="1" applyFont="1" applyFill="1" applyBorder="1" applyAlignment="1">
      <alignment horizontal="right"/>
    </xf>
    <xf numFmtId="4" fontId="0" fillId="0" borderId="43" xfId="42" applyNumberFormat="1" applyFont="1" applyFill="1" applyBorder="1" applyAlignment="1">
      <alignment/>
    </xf>
    <xf numFmtId="4" fontId="0" fillId="0" borderId="32" xfId="42" applyNumberFormat="1" applyFont="1" applyFill="1" applyBorder="1" applyAlignment="1">
      <alignment/>
    </xf>
    <xf numFmtId="4" fontId="0" fillId="0" borderId="29" xfId="42" applyNumberFormat="1" applyFont="1" applyFill="1" applyBorder="1" applyAlignment="1">
      <alignment/>
    </xf>
    <xf numFmtId="3" fontId="58" fillId="0" borderId="30" xfId="0" applyNumberFormat="1" applyFont="1" applyBorder="1" applyAlignment="1">
      <alignment/>
    </xf>
    <xf numFmtId="3" fontId="0" fillId="0" borderId="30" xfId="42" applyNumberFormat="1" applyFont="1" applyFill="1" applyBorder="1" applyAlignment="1">
      <alignment/>
    </xf>
    <xf numFmtId="0" fontId="64" fillId="0" borderId="0" xfId="0" applyFont="1" applyFill="1" applyBorder="1" applyAlignment="1">
      <alignment/>
    </xf>
    <xf numFmtId="2" fontId="64" fillId="0" borderId="0" xfId="0" applyNumberFormat="1" applyFont="1" applyFill="1" applyBorder="1" applyAlignment="1">
      <alignment/>
    </xf>
    <xf numFmtId="4" fontId="64" fillId="0" borderId="0" xfId="0" applyNumberFormat="1" applyFont="1" applyFill="1" applyBorder="1" applyAlignment="1">
      <alignment/>
    </xf>
    <xf numFmtId="164" fontId="60" fillId="0" borderId="27" xfId="42" applyNumberFormat="1" applyFont="1" applyFill="1" applyBorder="1" applyAlignment="1">
      <alignment horizontal="center" vertical="center" readingOrder="1"/>
    </xf>
    <xf numFmtId="164" fontId="5" fillId="0" borderId="27" xfId="42" applyNumberFormat="1" applyFont="1" applyFill="1" applyBorder="1" applyAlignment="1">
      <alignment horizontal="center" vertical="center" readingOrder="1"/>
    </xf>
    <xf numFmtId="167" fontId="0" fillId="0" borderId="30" xfId="42" applyNumberFormat="1" applyFont="1" applyFill="1" applyBorder="1" applyAlignment="1">
      <alignment/>
    </xf>
    <xf numFmtId="164" fontId="0" fillId="0" borderId="30" xfId="0" applyNumberFormat="1" applyFont="1" applyFill="1" applyBorder="1" applyAlignment="1">
      <alignment/>
    </xf>
    <xf numFmtId="164" fontId="0" fillId="0" borderId="32" xfId="42" applyNumberFormat="1" applyFont="1" applyFill="1" applyBorder="1" applyAlignment="1">
      <alignment/>
    </xf>
    <xf numFmtId="164" fontId="0" fillId="0" borderId="29" xfId="42" applyNumberFormat="1" applyFont="1" applyFill="1" applyBorder="1" applyAlignment="1">
      <alignment/>
    </xf>
    <xf numFmtId="164" fontId="0" fillId="0" borderId="43" xfId="42" applyNumberFormat="1" applyFont="1" applyFill="1" applyBorder="1" applyAlignment="1">
      <alignment/>
    </xf>
    <xf numFmtId="4" fontId="0" fillId="0" borderId="16" xfId="42" applyNumberFormat="1" applyFont="1" applyFill="1" applyBorder="1" applyAlignment="1">
      <alignment horizontal="right"/>
    </xf>
    <xf numFmtId="4" fontId="0" fillId="0" borderId="26" xfId="42" applyNumberFormat="1" applyFont="1" applyFill="1" applyBorder="1" applyAlignment="1">
      <alignment/>
    </xf>
    <xf numFmtId="164" fontId="12" fillId="33" borderId="0" xfId="0" applyNumberFormat="1" applyFont="1" applyFill="1" applyBorder="1" applyAlignment="1">
      <alignment/>
    </xf>
    <xf numFmtId="4" fontId="64" fillId="0" borderId="30" xfId="0" applyNumberFormat="1" applyFont="1" applyFill="1" applyBorder="1" applyAlignment="1">
      <alignment/>
    </xf>
    <xf numFmtId="4" fontId="12" fillId="33" borderId="16" xfId="42" applyNumberFormat="1" applyFont="1" applyFill="1" applyBorder="1" applyAlignment="1">
      <alignment horizontal="right"/>
    </xf>
    <xf numFmtId="167" fontId="0" fillId="0" borderId="27" xfId="0" applyNumberFormat="1" applyFont="1" applyFill="1" applyBorder="1" applyAlignment="1">
      <alignment/>
    </xf>
    <xf numFmtId="167" fontId="0" fillId="0" borderId="0" xfId="0" applyNumberFormat="1" applyFont="1" applyFill="1" applyBorder="1" applyAlignment="1">
      <alignment/>
    </xf>
    <xf numFmtId="167" fontId="0" fillId="0" borderId="30" xfId="0" applyNumberFormat="1" applyFont="1" applyFill="1" applyBorder="1" applyAlignment="1">
      <alignment/>
    </xf>
    <xf numFmtId="0" fontId="0" fillId="0" borderId="0" xfId="0" applyFont="1" applyBorder="1" applyAlignment="1">
      <alignment horizontal="right" vertical="center"/>
    </xf>
    <xf numFmtId="3" fontId="0" fillId="0" borderId="0" xfId="0" applyNumberFormat="1" applyFont="1" applyFill="1" applyBorder="1" applyAlignment="1">
      <alignment horizontal="right"/>
    </xf>
    <xf numFmtId="3" fontId="0" fillId="0" borderId="0" xfId="0" applyNumberFormat="1" applyFont="1" applyBorder="1" applyAlignment="1">
      <alignment horizontal="right" vertical="center"/>
    </xf>
    <xf numFmtId="0" fontId="0" fillId="0" borderId="30" xfId="0" applyFont="1" applyFill="1" applyBorder="1" applyAlignment="1">
      <alignment/>
    </xf>
    <xf numFmtId="0" fontId="0" fillId="0" borderId="43" xfId="0" applyFont="1" applyBorder="1" applyAlignment="1">
      <alignment/>
    </xf>
    <xf numFmtId="0" fontId="3" fillId="0" borderId="44" xfId="0" applyFont="1" applyBorder="1" applyAlignment="1">
      <alignment horizontal="center"/>
    </xf>
    <xf numFmtId="164" fontId="0" fillId="0" borderId="0" xfId="42" applyNumberFormat="1" applyFont="1" applyBorder="1" applyAlignment="1">
      <alignment horizontal="right"/>
    </xf>
    <xf numFmtId="164" fontId="65" fillId="0" borderId="0" xfId="42" applyNumberFormat="1" applyFont="1" applyBorder="1" applyAlignment="1">
      <alignment/>
    </xf>
    <xf numFmtId="0" fontId="65" fillId="0" borderId="0" xfId="0" applyFont="1" applyFill="1" applyBorder="1" applyAlignment="1">
      <alignment/>
    </xf>
    <xf numFmtId="164" fontId="66" fillId="0" borderId="0" xfId="42" applyNumberFormat="1" applyFont="1" applyFill="1" applyBorder="1" applyAlignment="1">
      <alignment horizontal="center" vertical="center" readingOrder="1"/>
    </xf>
    <xf numFmtId="165" fontId="65" fillId="0" borderId="0" xfId="0" applyNumberFormat="1" applyFont="1" applyFill="1" applyBorder="1" applyAlignment="1">
      <alignment/>
    </xf>
    <xf numFmtId="164" fontId="65" fillId="0" borderId="0" xfId="42" applyNumberFormat="1" applyFont="1" applyFill="1" applyBorder="1" applyAlignment="1">
      <alignment/>
    </xf>
    <xf numFmtId="43" fontId="67" fillId="0" borderId="0" xfId="42" applyNumberFormat="1" applyFont="1" applyFill="1" applyBorder="1" applyAlignment="1">
      <alignment/>
    </xf>
    <xf numFmtId="164" fontId="67" fillId="0" borderId="0" xfId="42" applyNumberFormat="1" applyFont="1" applyFill="1" applyBorder="1" applyAlignment="1">
      <alignment/>
    </xf>
    <xf numFmtId="0" fontId="65" fillId="0" borderId="0" xfId="0" applyFont="1" applyBorder="1" applyAlignment="1">
      <alignment horizontal="right" vertical="center"/>
    </xf>
    <xf numFmtId="3" fontId="65" fillId="0" borderId="0" xfId="42" applyNumberFormat="1" applyFont="1" applyFill="1" applyBorder="1" applyAlignment="1">
      <alignment/>
    </xf>
    <xf numFmtId="165" fontId="0" fillId="0" borderId="0" xfId="0" applyNumberFormat="1" applyFont="1" applyBorder="1" applyAlignment="1">
      <alignment horizontal="right" vertical="center"/>
    </xf>
    <xf numFmtId="164" fontId="0" fillId="0" borderId="30" xfId="42" applyNumberFormat="1" applyFont="1" applyBorder="1" applyAlignment="1">
      <alignment/>
    </xf>
    <xf numFmtId="164" fontId="0" fillId="0" borderId="30" xfId="42" applyNumberFormat="1" applyFont="1" applyFill="1" applyBorder="1" applyAlignment="1">
      <alignment horizontal="right"/>
    </xf>
    <xf numFmtId="4" fontId="12" fillId="0" borderId="26" xfId="42" applyNumberFormat="1" applyFont="1" applyFill="1" applyBorder="1" applyAlignment="1">
      <alignment/>
    </xf>
    <xf numFmtId="3" fontId="64" fillId="0" borderId="0" xfId="0" applyNumberFormat="1" applyFont="1" applyFill="1" applyBorder="1" applyAlignment="1">
      <alignment/>
    </xf>
    <xf numFmtId="164" fontId="58" fillId="0" borderId="30" xfId="42" applyNumberFormat="1" applyFont="1" applyBorder="1" applyAlignment="1">
      <alignment/>
    </xf>
    <xf numFmtId="164" fontId="66" fillId="0" borderId="30" xfId="42" applyNumberFormat="1" applyFont="1" applyFill="1" applyBorder="1" applyAlignment="1">
      <alignment horizontal="center" vertical="center" readingOrder="1"/>
    </xf>
    <xf numFmtId="164" fontId="5" fillId="0" borderId="30" xfId="42" applyNumberFormat="1" applyFont="1" applyFill="1" applyBorder="1" applyAlignment="1">
      <alignment horizontal="center" vertical="center" readingOrder="1"/>
    </xf>
    <xf numFmtId="165" fontId="65" fillId="0" borderId="30" xfId="0" applyNumberFormat="1" applyFont="1" applyFill="1" applyBorder="1" applyAlignment="1">
      <alignment/>
    </xf>
    <xf numFmtId="164" fontId="65" fillId="0" borderId="30" xfId="42" applyNumberFormat="1" applyFont="1" applyFill="1" applyBorder="1" applyAlignment="1">
      <alignment/>
    </xf>
    <xf numFmtId="43" fontId="67" fillId="0" borderId="30" xfId="42" applyNumberFormat="1" applyFont="1" applyFill="1" applyBorder="1" applyAlignment="1">
      <alignment/>
    </xf>
    <xf numFmtId="164" fontId="67" fillId="0" borderId="30" xfId="42" applyNumberFormat="1" applyFont="1" applyFill="1" applyBorder="1" applyAlignment="1">
      <alignment/>
    </xf>
    <xf numFmtId="165" fontId="0" fillId="0" borderId="30" xfId="0" applyNumberFormat="1" applyFont="1" applyBorder="1" applyAlignment="1">
      <alignment horizontal="right" vertical="center"/>
    </xf>
    <xf numFmtId="3" fontId="0" fillId="0" borderId="30" xfId="0" applyNumberFormat="1" applyFont="1" applyBorder="1" applyAlignment="1">
      <alignment horizontal="right" vertical="center"/>
    </xf>
    <xf numFmtId="0" fontId="65" fillId="0" borderId="30" xfId="0" applyFont="1" applyBorder="1" applyAlignment="1">
      <alignment horizontal="right" vertical="center"/>
    </xf>
    <xf numFmtId="0" fontId="0" fillId="0" borderId="30" xfId="0" applyFont="1" applyBorder="1" applyAlignment="1">
      <alignment horizontal="right" vertical="center"/>
    </xf>
    <xf numFmtId="2" fontId="0" fillId="0" borderId="30" xfId="0" applyNumberFormat="1" applyFont="1" applyBorder="1" applyAlignment="1">
      <alignment/>
    </xf>
    <xf numFmtId="0" fontId="65" fillId="0" borderId="30" xfId="0" applyFont="1" applyFill="1" applyBorder="1" applyAlignment="1">
      <alignment/>
    </xf>
    <xf numFmtId="4" fontId="64" fillId="0" borderId="27" xfId="0" applyNumberFormat="1" applyFont="1" applyFill="1" applyBorder="1" applyAlignment="1">
      <alignment/>
    </xf>
    <xf numFmtId="2" fontId="65" fillId="0" borderId="30" xfId="0" applyNumberFormat="1" applyFont="1" applyFill="1" applyBorder="1" applyAlignment="1">
      <alignment/>
    </xf>
    <xf numFmtId="3" fontId="65" fillId="0" borderId="30" xfId="42" applyNumberFormat="1" applyFont="1" applyFill="1" applyBorder="1" applyAlignment="1">
      <alignment/>
    </xf>
    <xf numFmtId="3" fontId="64" fillId="0" borderId="30" xfId="0" applyNumberFormat="1" applyFont="1" applyFill="1" applyBorder="1" applyAlignment="1">
      <alignment/>
    </xf>
    <xf numFmtId="0" fontId="65" fillId="0" borderId="0" xfId="0" applyFont="1" applyBorder="1" applyAlignment="1">
      <alignment/>
    </xf>
    <xf numFmtId="0" fontId="65" fillId="0" borderId="30" xfId="0" applyFont="1" applyBorder="1" applyAlignment="1">
      <alignment/>
    </xf>
    <xf numFmtId="164" fontId="65" fillId="0" borderId="30" xfId="42" applyNumberFormat="1" applyFont="1" applyBorder="1" applyAlignment="1">
      <alignment/>
    </xf>
    <xf numFmtId="164" fontId="12" fillId="33" borderId="30" xfId="42" applyNumberFormat="1" applyFont="1" applyFill="1" applyBorder="1" applyAlignment="1">
      <alignment/>
    </xf>
    <xf numFmtId="164" fontId="12" fillId="33" borderId="43" xfId="42" applyNumberFormat="1" applyFont="1" applyFill="1" applyBorder="1" applyAlignment="1">
      <alignment/>
    </xf>
    <xf numFmtId="164" fontId="66" fillId="0" borderId="27" xfId="42" applyNumberFormat="1" applyFont="1" applyFill="1" applyBorder="1" applyAlignment="1">
      <alignment horizontal="center" vertical="center" readingOrder="1"/>
    </xf>
    <xf numFmtId="165" fontId="65" fillId="0" borderId="27" xfId="0" applyNumberFormat="1" applyFont="1" applyFill="1" applyBorder="1" applyAlignment="1">
      <alignment/>
    </xf>
    <xf numFmtId="164" fontId="65" fillId="0" borderId="27" xfId="42" applyNumberFormat="1" applyFont="1" applyFill="1" applyBorder="1" applyAlignment="1">
      <alignment/>
    </xf>
    <xf numFmtId="43" fontId="67" fillId="0" borderId="27" xfId="42" applyNumberFormat="1" applyFont="1" applyFill="1" applyBorder="1" applyAlignment="1">
      <alignment/>
    </xf>
    <xf numFmtId="164" fontId="67" fillId="0" borderId="27" xfId="42" applyNumberFormat="1" applyFont="1" applyFill="1" applyBorder="1" applyAlignment="1">
      <alignment/>
    </xf>
    <xf numFmtId="165" fontId="0" fillId="0" borderId="27" xfId="0" applyNumberFormat="1" applyFont="1" applyBorder="1" applyAlignment="1">
      <alignment horizontal="right" vertical="center"/>
    </xf>
    <xf numFmtId="3" fontId="0" fillId="0" borderId="27" xfId="0" applyNumberFormat="1" applyFont="1" applyBorder="1" applyAlignment="1">
      <alignment horizontal="right" vertical="center"/>
    </xf>
    <xf numFmtId="0" fontId="65" fillId="0" borderId="27" xfId="0" applyFont="1" applyBorder="1" applyAlignment="1">
      <alignment horizontal="right" vertical="center"/>
    </xf>
    <xf numFmtId="0" fontId="0" fillId="0" borderId="27" xfId="0" applyFont="1" applyBorder="1" applyAlignment="1">
      <alignment horizontal="right" vertical="center"/>
    </xf>
    <xf numFmtId="0" fontId="65" fillId="0" borderId="27" xfId="0" applyFont="1" applyFill="1" applyBorder="1" applyAlignment="1">
      <alignment/>
    </xf>
    <xf numFmtId="3" fontId="65" fillId="0" borderId="27" xfId="42" applyNumberFormat="1" applyFont="1" applyFill="1" applyBorder="1" applyAlignment="1">
      <alignment/>
    </xf>
    <xf numFmtId="3" fontId="64" fillId="0" borderId="27" xfId="0" applyNumberFormat="1" applyFont="1" applyFill="1" applyBorder="1" applyAlignment="1">
      <alignment/>
    </xf>
    <xf numFmtId="0" fontId="65" fillId="0" borderId="27" xfId="0" applyFont="1" applyBorder="1" applyAlignment="1">
      <alignment/>
    </xf>
    <xf numFmtId="164" fontId="65" fillId="0" borderId="27" xfId="42" applyNumberFormat="1" applyFont="1" applyBorder="1" applyAlignment="1">
      <alignment/>
    </xf>
    <xf numFmtId="164" fontId="58" fillId="0" borderId="27" xfId="42" applyNumberFormat="1" applyFont="1" applyBorder="1" applyAlignment="1">
      <alignment/>
    </xf>
    <xf numFmtId="164" fontId="12" fillId="33" borderId="27" xfId="42" applyNumberFormat="1" applyFont="1" applyFill="1" applyBorder="1" applyAlignment="1">
      <alignment/>
    </xf>
    <xf numFmtId="164" fontId="12" fillId="33" borderId="32" xfId="42" applyNumberFormat="1" applyFont="1" applyFill="1" applyBorder="1" applyAlignment="1">
      <alignment/>
    </xf>
    <xf numFmtId="165" fontId="0" fillId="0" borderId="30" xfId="0" applyNumberFormat="1" applyFont="1" applyBorder="1" applyAlignment="1">
      <alignment/>
    </xf>
    <xf numFmtId="2" fontId="0" fillId="0" borderId="30" xfId="0" applyNumberFormat="1" applyFont="1" applyFill="1" applyBorder="1" applyAlignment="1">
      <alignment/>
    </xf>
    <xf numFmtId="164" fontId="65" fillId="0" borderId="0" xfId="0" applyNumberFormat="1" applyFont="1" applyBorder="1" applyAlignment="1">
      <alignment/>
    </xf>
    <xf numFmtId="164" fontId="0" fillId="0" borderId="30" xfId="42" applyNumberFormat="1" applyFont="1" applyBorder="1" applyAlignment="1">
      <alignment horizontal="right"/>
    </xf>
    <xf numFmtId="0" fontId="64" fillId="0" borderId="30" xfId="0" applyFont="1" applyFill="1" applyBorder="1" applyAlignment="1">
      <alignment/>
    </xf>
    <xf numFmtId="4" fontId="12" fillId="33" borderId="30" xfId="42" applyNumberFormat="1" applyFont="1" applyFill="1" applyBorder="1" applyAlignment="1">
      <alignment horizontal="right"/>
    </xf>
    <xf numFmtId="0" fontId="3" fillId="0" borderId="33" xfId="0" applyFont="1" applyBorder="1" applyAlignment="1">
      <alignment horizontal="center"/>
    </xf>
    <xf numFmtId="0" fontId="3" fillId="0" borderId="10" xfId="0" applyFont="1" applyBorder="1" applyAlignment="1">
      <alignment horizontal="center"/>
    </xf>
    <xf numFmtId="0" fontId="3" fillId="0" borderId="44" xfId="0" applyFont="1" applyBorder="1" applyAlignment="1">
      <alignment horizont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43" xfId="0" applyFont="1" applyBorder="1" applyAlignment="1">
      <alignment horizontal="center" vertical="center"/>
    </xf>
    <xf numFmtId="0" fontId="3" fillId="0" borderId="17" xfId="0" applyFont="1" applyBorder="1" applyAlignment="1">
      <alignment horizontal="center"/>
    </xf>
    <xf numFmtId="0" fontId="3" fillId="0" borderId="25" xfId="0" applyFont="1" applyBorder="1" applyAlignment="1">
      <alignment horizontal="center"/>
    </xf>
    <xf numFmtId="0" fontId="7" fillId="0" borderId="15" xfId="0" applyFont="1" applyBorder="1" applyAlignment="1">
      <alignment horizontal="left" vertical="center" wrapText="1"/>
    </xf>
    <xf numFmtId="0" fontId="8" fillId="0" borderId="32" xfId="0" applyFont="1" applyBorder="1" applyAlignment="1">
      <alignment horizontal="left" vertical="center" wrapText="1"/>
    </xf>
    <xf numFmtId="0" fontId="3" fillId="0" borderId="32" xfId="0" applyFont="1" applyBorder="1" applyAlignment="1">
      <alignment horizontal="center"/>
    </xf>
    <xf numFmtId="0" fontId="3" fillId="0" borderId="29" xfId="0" applyFont="1" applyBorder="1" applyAlignment="1">
      <alignment horizontal="center"/>
    </xf>
    <xf numFmtId="0" fontId="3" fillId="0" borderId="43" xfId="0" applyFont="1" applyBorder="1" applyAlignment="1">
      <alignment horizontal="center"/>
    </xf>
    <xf numFmtId="0" fontId="3" fillId="0" borderId="18" xfId="0" applyFont="1" applyBorder="1" applyAlignment="1">
      <alignment horizontal="center"/>
    </xf>
    <xf numFmtId="0" fontId="3" fillId="0" borderId="28" xfId="0" applyFont="1" applyBorder="1" applyAlignment="1">
      <alignment horizontal="center"/>
    </xf>
    <xf numFmtId="0" fontId="3" fillId="0" borderId="11" xfId="0" applyFont="1" applyBorder="1" applyAlignment="1">
      <alignment horizontal="center"/>
    </xf>
    <xf numFmtId="0" fontId="3" fillId="0" borderId="31" xfId="0" applyFont="1" applyBorder="1" applyAlignment="1">
      <alignment horizont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1" fontId="3" fillId="0" borderId="17" xfId="0" applyNumberFormat="1" applyFont="1" applyBorder="1" applyAlignment="1">
      <alignment horizontal="center"/>
    </xf>
    <xf numFmtId="1" fontId="3" fillId="0" borderId="10" xfId="0" applyNumberFormat="1" applyFont="1" applyBorder="1" applyAlignment="1">
      <alignment horizontal="center"/>
    </xf>
    <xf numFmtId="1" fontId="3" fillId="0" borderId="25" xfId="0" applyNumberFormat="1" applyFont="1" applyBorder="1" applyAlignment="1">
      <alignment horizontal="center"/>
    </xf>
    <xf numFmtId="0" fontId="0" fillId="0" borderId="18" xfId="0" applyBorder="1" applyAlignment="1">
      <alignment/>
    </xf>
    <xf numFmtId="0" fontId="11" fillId="0" borderId="17" xfId="0" applyFont="1" applyBorder="1" applyAlignment="1">
      <alignment horizontal="left" vertical="center" wrapText="1"/>
    </xf>
    <xf numFmtId="0" fontId="11" fillId="0" borderId="10" xfId="0" applyFont="1" applyBorder="1" applyAlignment="1">
      <alignment horizontal="left" vertical="center" wrapText="1"/>
    </xf>
    <xf numFmtId="164" fontId="0" fillId="0" borderId="30" xfId="0" applyNumberFormat="1" applyFont="1" applyBorder="1" applyAlignment="1">
      <alignment/>
    </xf>
    <xf numFmtId="4" fontId="12" fillId="33" borderId="26"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J5334"/>
  <sheetViews>
    <sheetView tabSelected="1" zoomScalePageLayoutView="0" workbookViewId="0" topLeftCell="B1">
      <pane xSplit="1" ySplit="2" topLeftCell="FZ3" activePane="bottomRight" state="frozen"/>
      <selection pane="topLeft" activeCell="B1" sqref="B1"/>
      <selection pane="topRight" activeCell="C1" sqref="C1"/>
      <selection pane="bottomLeft" activeCell="B3" sqref="B3"/>
      <selection pane="bottomRight" activeCell="GG1" sqref="GG1:GI1"/>
    </sheetView>
  </sheetViews>
  <sheetFormatPr defaultColWidth="9.33203125" defaultRowHeight="12.75"/>
  <cols>
    <col min="1" max="1" width="3" style="2" bestFit="1" customWidth="1"/>
    <col min="2" max="2" width="70.83203125" style="2" customWidth="1"/>
    <col min="3" max="3" width="8.83203125" style="3" customWidth="1"/>
    <col min="4" max="4" width="7" style="3" hidden="1" customWidth="1"/>
    <col min="5" max="5" width="7.66015625" style="3" hidden="1" customWidth="1"/>
    <col min="6" max="6" width="7.16015625" style="3" hidden="1" customWidth="1"/>
    <col min="7" max="8" width="7.66015625" style="3" hidden="1" customWidth="1"/>
    <col min="9" max="9" width="7" style="3" hidden="1" customWidth="1"/>
    <col min="10" max="10" width="7.66015625" style="3" hidden="1" customWidth="1"/>
    <col min="11" max="11" width="7.83203125" style="3" hidden="1" customWidth="1"/>
    <col min="12" max="13" width="7.66015625" style="3" hidden="1" customWidth="1"/>
    <col min="14" max="14" width="8" style="3" hidden="1" customWidth="1"/>
    <col min="15" max="15" width="9.16015625" style="3" customWidth="1"/>
    <col min="16" max="16" width="0.1640625" style="3" hidden="1" customWidth="1"/>
    <col min="17" max="18" width="9" style="3" hidden="1" customWidth="1"/>
    <col min="19" max="21" width="10.16015625" style="3" hidden="1" customWidth="1"/>
    <col min="22" max="24" width="9" style="3" hidden="1" customWidth="1"/>
    <col min="25" max="26" width="10.16015625" style="3" hidden="1" customWidth="1"/>
    <col min="27" max="27" width="9" style="3" customWidth="1"/>
    <col min="28" max="30" width="9.16015625" style="3" hidden="1" customWidth="1"/>
    <col min="31" max="31" width="8.83203125" style="3" hidden="1" customWidth="1"/>
    <col min="32" max="32" width="9" style="3" hidden="1" customWidth="1"/>
    <col min="33" max="33" width="8.83203125" style="3" hidden="1" customWidth="1"/>
    <col min="34" max="37" width="9" style="3" hidden="1" customWidth="1"/>
    <col min="38" max="38" width="8.83203125" style="3" hidden="1" customWidth="1"/>
    <col min="39" max="39" width="9.33203125" style="3" customWidth="1"/>
    <col min="40" max="40" width="9" style="3" hidden="1" customWidth="1"/>
    <col min="41" max="43" width="8.83203125" style="3" hidden="1" customWidth="1"/>
    <col min="44" max="44" width="9" style="9" hidden="1" customWidth="1"/>
    <col min="45" max="46" width="10.5" style="9" hidden="1" customWidth="1"/>
    <col min="47" max="47" width="0.1640625" style="9" hidden="1" customWidth="1"/>
    <col min="48" max="48" width="10.5" style="9" hidden="1" customWidth="1"/>
    <col min="49" max="49" width="10.5" style="47" hidden="1" customWidth="1"/>
    <col min="50" max="50" width="9" style="9" hidden="1" customWidth="1"/>
    <col min="51" max="51" width="9" style="9" bestFit="1" customWidth="1"/>
    <col min="52" max="55" width="9" style="9" hidden="1" customWidth="1"/>
    <col min="56" max="56" width="8.83203125" style="9" hidden="1" customWidth="1"/>
    <col min="57" max="62" width="9" style="9" hidden="1" customWidth="1"/>
    <col min="63" max="63" width="9" style="9" bestFit="1" customWidth="1"/>
    <col min="64" max="68" width="9" style="9" hidden="1" customWidth="1"/>
    <col min="69" max="69" width="9.5" style="9" hidden="1" customWidth="1"/>
    <col min="70" max="70" width="9" style="9" hidden="1" customWidth="1"/>
    <col min="71" max="74" width="10.5" style="9" hidden="1" customWidth="1"/>
    <col min="75" max="75" width="9.16015625" style="9" bestFit="1" customWidth="1"/>
    <col min="76" max="86" width="10.5" style="9" hidden="1" customWidth="1"/>
    <col min="87" max="87" width="8.83203125" style="9" customWidth="1"/>
    <col min="88" max="98" width="9.16015625" style="9" hidden="1" customWidth="1"/>
    <col min="99" max="99" width="9.16015625" style="9" customWidth="1"/>
    <col min="100" max="110" width="9.16015625" style="9" hidden="1" customWidth="1"/>
    <col min="111" max="111" width="9.16015625" style="9" bestFit="1" customWidth="1"/>
    <col min="112" max="112" width="11.5" style="9" hidden="1" customWidth="1"/>
    <col min="113" max="113" width="10.5" style="9" hidden="1" customWidth="1"/>
    <col min="114" max="118" width="10.5" style="28" hidden="1" customWidth="1"/>
    <col min="119" max="122" width="10.5" style="3" hidden="1" customWidth="1"/>
    <col min="123" max="123" width="10.5" style="3" bestFit="1" customWidth="1"/>
    <col min="124" max="124" width="10.5" style="49" hidden="1" customWidth="1"/>
    <col min="125" max="132" width="10.5" style="133" hidden="1" customWidth="1"/>
    <col min="133" max="133" width="10.5" style="3" hidden="1" customWidth="1"/>
    <col min="134" max="134" width="10.5" style="133" hidden="1" customWidth="1"/>
    <col min="135" max="135" width="10.5" style="133" bestFit="1" customWidth="1"/>
    <col min="136" max="146" width="11.5" style="3" hidden="1" customWidth="1"/>
    <col min="147" max="147" width="11.5" style="3" bestFit="1" customWidth="1"/>
    <col min="148" max="148" width="11.5" style="3" hidden="1" customWidth="1"/>
    <col min="149" max="152" width="10.16015625" style="3" hidden="1" customWidth="1"/>
    <col min="153" max="153" width="10.5" style="3" hidden="1" customWidth="1"/>
    <col min="154" max="156" width="10.16015625" style="3" hidden="1" customWidth="1"/>
    <col min="157" max="157" width="10.5" style="3" hidden="1" customWidth="1"/>
    <col min="158" max="158" width="10.16015625" style="3" hidden="1" customWidth="1"/>
    <col min="159" max="159" width="10.5" style="3" bestFit="1" customWidth="1"/>
    <col min="160" max="170" width="10.16015625" style="3" hidden="1" customWidth="1"/>
    <col min="171" max="171" width="10.16015625" style="3" customWidth="1"/>
    <col min="172" max="172" width="10.16015625" style="132" customWidth="1"/>
    <col min="173" max="173" width="10.16015625" style="3" bestFit="1" customWidth="1"/>
    <col min="174" max="174" width="10.16015625" style="3" customWidth="1"/>
    <col min="175" max="175" width="10.16015625" style="3" bestFit="1" customWidth="1"/>
    <col min="176" max="176" width="10.16015625" style="3" customWidth="1"/>
    <col min="177" max="178" width="10.16015625" style="3" bestFit="1" customWidth="1"/>
    <col min="179" max="179" width="10.16015625" style="3" customWidth="1"/>
    <col min="180" max="180" width="10.5" style="3" bestFit="1" customWidth="1"/>
    <col min="181" max="181" width="10.16015625" style="3" bestFit="1" customWidth="1"/>
    <col min="182" max="182" width="10.16015625" style="3" customWidth="1"/>
    <col min="183" max="183" width="10" style="3" customWidth="1"/>
    <col min="184" max="184" width="10.16015625" style="3" bestFit="1" customWidth="1"/>
    <col min="185" max="185" width="10.5" style="3" bestFit="1" customWidth="1"/>
    <col min="186" max="186" width="10.16015625" style="3" customWidth="1"/>
    <col min="187" max="191" width="8" style="2" bestFit="1" customWidth="1"/>
    <col min="192" max="16384" width="9.33203125" style="2" customWidth="1"/>
  </cols>
  <sheetData>
    <row r="1" spans="2:191" s="1" customFormat="1" ht="20.25" customHeight="1">
      <c r="B1" s="450" t="s">
        <v>156</v>
      </c>
      <c r="C1" s="23">
        <v>2003</v>
      </c>
      <c r="D1" s="448">
        <v>2004</v>
      </c>
      <c r="E1" s="443"/>
      <c r="F1" s="443"/>
      <c r="G1" s="443"/>
      <c r="H1" s="443"/>
      <c r="I1" s="443"/>
      <c r="J1" s="443"/>
      <c r="K1" s="443"/>
      <c r="L1" s="443"/>
      <c r="M1" s="443"/>
      <c r="N1" s="443"/>
      <c r="O1" s="449"/>
      <c r="P1" s="448">
        <v>2005</v>
      </c>
      <c r="Q1" s="443"/>
      <c r="R1" s="443"/>
      <c r="S1" s="443"/>
      <c r="T1" s="443"/>
      <c r="U1" s="443"/>
      <c r="V1" s="443"/>
      <c r="W1" s="443"/>
      <c r="X1" s="443"/>
      <c r="Y1" s="443"/>
      <c r="Z1" s="443"/>
      <c r="AA1" s="449"/>
      <c r="AB1" s="448">
        <v>2006</v>
      </c>
      <c r="AC1" s="443"/>
      <c r="AD1" s="443"/>
      <c r="AE1" s="443"/>
      <c r="AF1" s="443"/>
      <c r="AG1" s="443"/>
      <c r="AH1" s="443"/>
      <c r="AI1" s="443"/>
      <c r="AJ1" s="443"/>
      <c r="AK1" s="443"/>
      <c r="AL1" s="443"/>
      <c r="AM1" s="449"/>
      <c r="AN1" s="452">
        <v>2007</v>
      </c>
      <c r="AO1" s="453"/>
      <c r="AP1" s="453"/>
      <c r="AQ1" s="453"/>
      <c r="AR1" s="453"/>
      <c r="AS1" s="453"/>
      <c r="AT1" s="453"/>
      <c r="AU1" s="453"/>
      <c r="AV1" s="453"/>
      <c r="AW1" s="453"/>
      <c r="AX1" s="453"/>
      <c r="AY1" s="454"/>
      <c r="AZ1" s="452">
        <v>2008</v>
      </c>
      <c r="BA1" s="453"/>
      <c r="BB1" s="453"/>
      <c r="BC1" s="453"/>
      <c r="BD1" s="453"/>
      <c r="BE1" s="453"/>
      <c r="BF1" s="453"/>
      <c r="BG1" s="453"/>
      <c r="BH1" s="453"/>
      <c r="BI1" s="453"/>
      <c r="BJ1" s="453"/>
      <c r="BK1" s="454"/>
      <c r="BL1" s="455">
        <v>2009</v>
      </c>
      <c r="BM1" s="455"/>
      <c r="BN1" s="455"/>
      <c r="BO1" s="455"/>
      <c r="BP1" s="455"/>
      <c r="BQ1" s="455"/>
      <c r="BR1" s="455"/>
      <c r="BS1" s="455"/>
      <c r="BT1" s="455"/>
      <c r="BU1" s="455"/>
      <c r="BV1" s="455"/>
      <c r="BW1" s="455"/>
      <c r="BX1" s="455">
        <v>2010</v>
      </c>
      <c r="BY1" s="455"/>
      <c r="BZ1" s="455"/>
      <c r="CA1" s="455"/>
      <c r="CB1" s="455"/>
      <c r="CC1" s="455"/>
      <c r="CD1" s="455"/>
      <c r="CE1" s="455"/>
      <c r="CF1" s="455"/>
      <c r="CG1" s="455"/>
      <c r="CH1" s="455"/>
      <c r="CI1" s="455"/>
      <c r="CJ1" s="455">
        <v>2011</v>
      </c>
      <c r="CK1" s="455"/>
      <c r="CL1" s="455"/>
      <c r="CM1" s="455"/>
      <c r="CN1" s="455"/>
      <c r="CO1" s="455"/>
      <c r="CP1" s="455"/>
      <c r="CQ1" s="455"/>
      <c r="CR1" s="455"/>
      <c r="CS1" s="455"/>
      <c r="CT1" s="455"/>
      <c r="CU1" s="455"/>
      <c r="CV1" s="448">
        <v>2012</v>
      </c>
      <c r="CW1" s="443"/>
      <c r="CX1" s="443"/>
      <c r="CY1" s="443"/>
      <c r="CZ1" s="443"/>
      <c r="DA1" s="443"/>
      <c r="DB1" s="443"/>
      <c r="DC1" s="443"/>
      <c r="DD1" s="443"/>
      <c r="DE1" s="443"/>
      <c r="DF1" s="443"/>
      <c r="DG1" s="449"/>
      <c r="DH1" s="455">
        <v>2013</v>
      </c>
      <c r="DI1" s="455"/>
      <c r="DJ1" s="455"/>
      <c r="DK1" s="455"/>
      <c r="DL1" s="455"/>
      <c r="DM1" s="455"/>
      <c r="DN1" s="455"/>
      <c r="DO1" s="455"/>
      <c r="DP1" s="455"/>
      <c r="DQ1" s="455"/>
      <c r="DR1" s="455"/>
      <c r="DS1" s="455"/>
      <c r="DT1" s="455">
        <v>2014</v>
      </c>
      <c r="DU1" s="465"/>
      <c r="DV1" s="465"/>
      <c r="DW1" s="465"/>
      <c r="DX1" s="465"/>
      <c r="DY1" s="465"/>
      <c r="DZ1" s="465"/>
      <c r="EA1" s="465"/>
      <c r="EB1" s="465"/>
      <c r="EC1" s="465"/>
      <c r="ED1" s="465"/>
      <c r="EE1" s="465"/>
      <c r="EF1" s="443">
        <v>2015</v>
      </c>
      <c r="EG1" s="443"/>
      <c r="EH1" s="443"/>
      <c r="EI1" s="443"/>
      <c r="EJ1" s="443"/>
      <c r="EK1" s="443"/>
      <c r="EL1" s="443"/>
      <c r="EM1" s="443"/>
      <c r="EN1" s="443"/>
      <c r="EO1" s="443"/>
      <c r="EP1" s="443"/>
      <c r="EQ1" s="449"/>
      <c r="ER1" s="453">
        <v>2016</v>
      </c>
      <c r="ES1" s="453"/>
      <c r="ET1" s="453"/>
      <c r="EU1" s="453"/>
      <c r="EV1" s="453"/>
      <c r="EW1" s="453"/>
      <c r="EX1" s="453"/>
      <c r="EY1" s="453"/>
      <c r="EZ1" s="453"/>
      <c r="FA1" s="453"/>
      <c r="FB1" s="453"/>
      <c r="FC1" s="454"/>
      <c r="FD1" s="448">
        <v>2017</v>
      </c>
      <c r="FE1" s="443"/>
      <c r="FF1" s="443"/>
      <c r="FG1" s="443"/>
      <c r="FH1" s="443"/>
      <c r="FI1" s="443"/>
      <c r="FJ1" s="443"/>
      <c r="FK1" s="443"/>
      <c r="FL1" s="443"/>
      <c r="FM1" s="443"/>
      <c r="FN1" s="443"/>
      <c r="FO1" s="449"/>
      <c r="FP1" s="445">
        <v>2018</v>
      </c>
      <c r="FQ1" s="446"/>
      <c r="FR1" s="446"/>
      <c r="FS1" s="446"/>
      <c r="FT1" s="446"/>
      <c r="FU1" s="446"/>
      <c r="FV1" s="446"/>
      <c r="FW1" s="446"/>
      <c r="FX1" s="446"/>
      <c r="FY1" s="446"/>
      <c r="FZ1" s="446"/>
      <c r="GA1" s="447"/>
      <c r="GB1" s="445">
        <v>2019</v>
      </c>
      <c r="GC1" s="446"/>
      <c r="GD1" s="447"/>
      <c r="GE1" s="466" t="s">
        <v>113</v>
      </c>
      <c r="GF1" s="467"/>
      <c r="GG1" s="460">
        <v>2019</v>
      </c>
      <c r="GH1" s="460"/>
      <c r="GI1" s="461"/>
    </row>
    <row r="2" spans="1:191" s="237" customFormat="1" ht="21" customHeight="1">
      <c r="A2" s="234"/>
      <c r="B2" s="451"/>
      <c r="C2" s="235" t="s">
        <v>12</v>
      </c>
      <c r="D2" s="235" t="s">
        <v>0</v>
      </c>
      <c r="E2" s="235" t="s">
        <v>1</v>
      </c>
      <c r="F2" s="236" t="s">
        <v>2</v>
      </c>
      <c r="G2" s="236" t="s">
        <v>3</v>
      </c>
      <c r="H2" s="236" t="s">
        <v>4</v>
      </c>
      <c r="I2" s="236" t="s">
        <v>5</v>
      </c>
      <c r="J2" s="236" t="s">
        <v>10</v>
      </c>
      <c r="K2" s="236" t="s">
        <v>11</v>
      </c>
      <c r="L2" s="236" t="s">
        <v>18</v>
      </c>
      <c r="M2" s="236" t="s">
        <v>26</v>
      </c>
      <c r="N2" s="235" t="s">
        <v>27</v>
      </c>
      <c r="O2" s="235" t="s">
        <v>12</v>
      </c>
      <c r="P2" s="235" t="s">
        <v>0</v>
      </c>
      <c r="Q2" s="235" t="s">
        <v>29</v>
      </c>
      <c r="R2" s="235" t="s">
        <v>2</v>
      </c>
      <c r="S2" s="235" t="s">
        <v>3</v>
      </c>
      <c r="T2" s="235" t="s">
        <v>4</v>
      </c>
      <c r="U2" s="235" t="s">
        <v>5</v>
      </c>
      <c r="V2" s="235" t="s">
        <v>10</v>
      </c>
      <c r="W2" s="235" t="s">
        <v>31</v>
      </c>
      <c r="X2" s="235" t="s">
        <v>18</v>
      </c>
      <c r="Y2" s="235" t="s">
        <v>26</v>
      </c>
      <c r="Z2" s="235" t="s">
        <v>27</v>
      </c>
      <c r="AA2" s="235" t="s">
        <v>12</v>
      </c>
      <c r="AB2" s="235" t="s">
        <v>0</v>
      </c>
      <c r="AC2" s="235" t="s">
        <v>1</v>
      </c>
      <c r="AD2" s="235" t="s">
        <v>2</v>
      </c>
      <c r="AE2" s="235" t="s">
        <v>3</v>
      </c>
      <c r="AF2" s="235" t="s">
        <v>4</v>
      </c>
      <c r="AG2" s="235" t="s">
        <v>5</v>
      </c>
      <c r="AH2" s="235" t="s">
        <v>10</v>
      </c>
      <c r="AI2" s="235" t="s">
        <v>11</v>
      </c>
      <c r="AJ2" s="235" t="s">
        <v>18</v>
      </c>
      <c r="AK2" s="235" t="s">
        <v>26</v>
      </c>
      <c r="AL2" s="235" t="s">
        <v>27</v>
      </c>
      <c r="AM2" s="235" t="s">
        <v>12</v>
      </c>
      <c r="AN2" s="235" t="s">
        <v>0</v>
      </c>
      <c r="AO2" s="235" t="s">
        <v>30</v>
      </c>
      <c r="AP2" s="235" t="s">
        <v>73</v>
      </c>
      <c r="AQ2" s="235" t="s">
        <v>76</v>
      </c>
      <c r="AR2" s="235" t="s">
        <v>4</v>
      </c>
      <c r="AS2" s="235" t="s">
        <v>5</v>
      </c>
      <c r="AT2" s="235" t="s">
        <v>10</v>
      </c>
      <c r="AU2" s="235" t="s">
        <v>31</v>
      </c>
      <c r="AV2" s="235" t="s">
        <v>79</v>
      </c>
      <c r="AW2" s="258" t="s">
        <v>26</v>
      </c>
      <c r="AX2" s="235" t="s">
        <v>27</v>
      </c>
      <c r="AY2" s="235" t="s">
        <v>12</v>
      </c>
      <c r="AZ2" s="235" t="s">
        <v>0</v>
      </c>
      <c r="BA2" s="235" t="s">
        <v>30</v>
      </c>
      <c r="BB2" s="235" t="s">
        <v>73</v>
      </c>
      <c r="BC2" s="235" t="s">
        <v>76</v>
      </c>
      <c r="BD2" s="235" t="s">
        <v>4</v>
      </c>
      <c r="BE2" s="235" t="s">
        <v>91</v>
      </c>
      <c r="BF2" s="235" t="s">
        <v>92</v>
      </c>
      <c r="BG2" s="235" t="s">
        <v>93</v>
      </c>
      <c r="BH2" s="235" t="s">
        <v>95</v>
      </c>
      <c r="BI2" s="235" t="s">
        <v>96</v>
      </c>
      <c r="BJ2" s="235" t="s">
        <v>98</v>
      </c>
      <c r="BK2" s="235" t="s">
        <v>99</v>
      </c>
      <c r="BL2" s="235" t="s">
        <v>100</v>
      </c>
      <c r="BM2" s="235" t="s">
        <v>1</v>
      </c>
      <c r="BN2" s="235" t="s">
        <v>104</v>
      </c>
      <c r="BO2" s="235" t="s">
        <v>105</v>
      </c>
      <c r="BP2" s="235" t="s">
        <v>4</v>
      </c>
      <c r="BQ2" s="235" t="s">
        <v>91</v>
      </c>
      <c r="BR2" s="235" t="s">
        <v>92</v>
      </c>
      <c r="BS2" s="235" t="s">
        <v>93</v>
      </c>
      <c r="BT2" s="235" t="s">
        <v>95</v>
      </c>
      <c r="BU2" s="235" t="s">
        <v>96</v>
      </c>
      <c r="BV2" s="235" t="s">
        <v>98</v>
      </c>
      <c r="BW2" s="235" t="s">
        <v>99</v>
      </c>
      <c r="BX2" s="235" t="s">
        <v>100</v>
      </c>
      <c r="BY2" s="235" t="s">
        <v>1</v>
      </c>
      <c r="BZ2" s="235" t="s">
        <v>104</v>
      </c>
      <c r="CA2" s="235" t="s">
        <v>105</v>
      </c>
      <c r="CB2" s="235" t="s">
        <v>4</v>
      </c>
      <c r="CC2" s="235" t="s">
        <v>91</v>
      </c>
      <c r="CD2" s="235" t="s">
        <v>92</v>
      </c>
      <c r="CE2" s="235" t="s">
        <v>93</v>
      </c>
      <c r="CF2" s="235" t="s">
        <v>95</v>
      </c>
      <c r="CG2" s="235" t="s">
        <v>96</v>
      </c>
      <c r="CH2" s="235" t="s">
        <v>98</v>
      </c>
      <c r="CI2" s="235" t="s">
        <v>99</v>
      </c>
      <c r="CJ2" s="235" t="s">
        <v>100</v>
      </c>
      <c r="CK2" s="235" t="s">
        <v>1</v>
      </c>
      <c r="CL2" s="235" t="s">
        <v>104</v>
      </c>
      <c r="CM2" s="235" t="s">
        <v>105</v>
      </c>
      <c r="CN2" s="235" t="s">
        <v>4</v>
      </c>
      <c r="CO2" s="235" t="s">
        <v>91</v>
      </c>
      <c r="CP2" s="235" t="s">
        <v>92</v>
      </c>
      <c r="CQ2" s="235" t="s">
        <v>93</v>
      </c>
      <c r="CR2" s="235" t="s">
        <v>79</v>
      </c>
      <c r="CS2" s="235" t="s">
        <v>96</v>
      </c>
      <c r="CT2" s="235" t="s">
        <v>98</v>
      </c>
      <c r="CU2" s="235" t="s">
        <v>99</v>
      </c>
      <c r="CV2" s="235" t="s">
        <v>100</v>
      </c>
      <c r="CW2" s="235" t="s">
        <v>1</v>
      </c>
      <c r="CX2" s="235" t="s">
        <v>104</v>
      </c>
      <c r="CY2" s="235" t="s">
        <v>105</v>
      </c>
      <c r="CZ2" s="235" t="s">
        <v>4</v>
      </c>
      <c r="DA2" s="235" t="s">
        <v>91</v>
      </c>
      <c r="DB2" s="235" t="s">
        <v>92</v>
      </c>
      <c r="DC2" s="235" t="s">
        <v>93</v>
      </c>
      <c r="DD2" s="235" t="s">
        <v>95</v>
      </c>
      <c r="DE2" s="235" t="s">
        <v>96</v>
      </c>
      <c r="DF2" s="235" t="s">
        <v>98</v>
      </c>
      <c r="DG2" s="235" t="s">
        <v>99</v>
      </c>
      <c r="DH2" s="235" t="s">
        <v>100</v>
      </c>
      <c r="DI2" s="235" t="s">
        <v>1</v>
      </c>
      <c r="DJ2" s="235" t="s">
        <v>104</v>
      </c>
      <c r="DK2" s="235" t="s">
        <v>105</v>
      </c>
      <c r="DL2" s="235" t="s">
        <v>4</v>
      </c>
      <c r="DM2" s="235" t="s">
        <v>91</v>
      </c>
      <c r="DN2" s="235" t="s">
        <v>92</v>
      </c>
      <c r="DO2" s="235" t="s">
        <v>93</v>
      </c>
      <c r="DP2" s="235" t="s">
        <v>95</v>
      </c>
      <c r="DQ2" s="235" t="s">
        <v>96</v>
      </c>
      <c r="DR2" s="235" t="s">
        <v>98</v>
      </c>
      <c r="DS2" s="235" t="s">
        <v>99</v>
      </c>
      <c r="DT2" s="258" t="s">
        <v>0</v>
      </c>
      <c r="DU2" s="235" t="s">
        <v>30</v>
      </c>
      <c r="DV2" s="235" t="s">
        <v>73</v>
      </c>
      <c r="DW2" s="235" t="s">
        <v>76</v>
      </c>
      <c r="DX2" s="235" t="s">
        <v>115</v>
      </c>
      <c r="DY2" s="235" t="s">
        <v>91</v>
      </c>
      <c r="DZ2" s="235" t="s">
        <v>92</v>
      </c>
      <c r="EA2" s="235" t="s">
        <v>31</v>
      </c>
      <c r="EB2" s="235" t="s">
        <v>18</v>
      </c>
      <c r="EC2" s="235" t="s">
        <v>26</v>
      </c>
      <c r="ED2" s="235" t="s">
        <v>27</v>
      </c>
      <c r="EE2" s="235" t="s">
        <v>12</v>
      </c>
      <c r="EF2" s="258" t="s">
        <v>0</v>
      </c>
      <c r="EG2" s="235" t="s">
        <v>30</v>
      </c>
      <c r="EH2" s="235" t="s">
        <v>73</v>
      </c>
      <c r="EI2" s="235" t="s">
        <v>76</v>
      </c>
      <c r="EJ2" s="235" t="s">
        <v>115</v>
      </c>
      <c r="EK2" s="235" t="s">
        <v>91</v>
      </c>
      <c r="EL2" s="235" t="s">
        <v>92</v>
      </c>
      <c r="EM2" s="235" t="s">
        <v>31</v>
      </c>
      <c r="EN2" s="235" t="s">
        <v>18</v>
      </c>
      <c r="EO2" s="235" t="s">
        <v>26</v>
      </c>
      <c r="EP2" s="235" t="s">
        <v>27</v>
      </c>
      <c r="EQ2" s="235" t="s">
        <v>12</v>
      </c>
      <c r="ER2" s="235" t="s">
        <v>0</v>
      </c>
      <c r="ES2" s="235" t="s">
        <v>1</v>
      </c>
      <c r="ET2" s="235" t="s">
        <v>104</v>
      </c>
      <c r="EU2" s="235" t="s">
        <v>105</v>
      </c>
      <c r="EV2" s="235" t="s">
        <v>4</v>
      </c>
      <c r="EW2" s="235" t="s">
        <v>91</v>
      </c>
      <c r="EX2" s="235" t="s">
        <v>92</v>
      </c>
      <c r="EY2" s="235" t="s">
        <v>93</v>
      </c>
      <c r="EZ2" s="235" t="s">
        <v>95</v>
      </c>
      <c r="FA2" s="235" t="s">
        <v>96</v>
      </c>
      <c r="FB2" s="235" t="s">
        <v>98</v>
      </c>
      <c r="FC2" s="235" t="s">
        <v>99</v>
      </c>
      <c r="FD2" s="298" t="s">
        <v>100</v>
      </c>
      <c r="FE2" s="297" t="s">
        <v>1</v>
      </c>
      <c r="FF2" s="297" t="s">
        <v>104</v>
      </c>
      <c r="FG2" s="297" t="s">
        <v>105</v>
      </c>
      <c r="FH2" s="297" t="s">
        <v>4</v>
      </c>
      <c r="FI2" s="297" t="s">
        <v>91</v>
      </c>
      <c r="FJ2" s="297" t="s">
        <v>92</v>
      </c>
      <c r="FK2" s="297" t="s">
        <v>93</v>
      </c>
      <c r="FL2" s="297" t="s">
        <v>95</v>
      </c>
      <c r="FM2" s="297" t="s">
        <v>96</v>
      </c>
      <c r="FN2" s="297" t="s">
        <v>98</v>
      </c>
      <c r="FO2" s="297" t="s">
        <v>99</v>
      </c>
      <c r="FP2" s="298" t="s">
        <v>100</v>
      </c>
      <c r="FQ2" s="297" t="s">
        <v>1</v>
      </c>
      <c r="FR2" s="297" t="s">
        <v>104</v>
      </c>
      <c r="FS2" s="297" t="s">
        <v>105</v>
      </c>
      <c r="FT2" s="297" t="s">
        <v>4</v>
      </c>
      <c r="FU2" s="297" t="s">
        <v>91</v>
      </c>
      <c r="FV2" s="297" t="s">
        <v>92</v>
      </c>
      <c r="FW2" s="297" t="s">
        <v>93</v>
      </c>
      <c r="FX2" s="297" t="s">
        <v>95</v>
      </c>
      <c r="FY2" s="297" t="s">
        <v>96</v>
      </c>
      <c r="FZ2" s="297" t="s">
        <v>98</v>
      </c>
      <c r="GA2" s="332" t="s">
        <v>99</v>
      </c>
      <c r="GB2" s="298" t="s">
        <v>100</v>
      </c>
      <c r="GC2" s="297" t="s">
        <v>1</v>
      </c>
      <c r="GD2" s="332" t="s">
        <v>104</v>
      </c>
      <c r="GE2" s="238">
        <v>43552</v>
      </c>
      <c r="GF2" s="238">
        <v>43559</v>
      </c>
      <c r="GG2" s="238">
        <v>43566</v>
      </c>
      <c r="GH2" s="238">
        <v>43573</v>
      </c>
      <c r="GI2" s="328">
        <v>43580</v>
      </c>
    </row>
    <row r="3" spans="1:191" ht="15" customHeight="1">
      <c r="A3" s="149" t="s">
        <v>21</v>
      </c>
      <c r="B3" s="186" t="s">
        <v>139</v>
      </c>
      <c r="C3" s="150">
        <v>8079</v>
      </c>
      <c r="D3" s="150">
        <v>8600</v>
      </c>
      <c r="E3" s="150">
        <v>7615</v>
      </c>
      <c r="F3" s="150">
        <v>8316.7</v>
      </c>
      <c r="G3" s="151">
        <v>8233</v>
      </c>
      <c r="H3" s="151">
        <v>8317</v>
      </c>
      <c r="I3" s="151">
        <v>8199</v>
      </c>
      <c r="J3" s="151">
        <v>8247</v>
      </c>
      <c r="K3" s="151">
        <v>8547</v>
      </c>
      <c r="L3" s="151">
        <v>9006</v>
      </c>
      <c r="M3" s="151">
        <v>9772</v>
      </c>
      <c r="N3" s="150">
        <v>10295.7</v>
      </c>
      <c r="O3" s="81">
        <v>10639</v>
      </c>
      <c r="P3" s="151">
        <v>12115</v>
      </c>
      <c r="Q3" s="151">
        <v>11814</v>
      </c>
      <c r="R3" s="151">
        <v>11110.5</v>
      </c>
      <c r="S3" s="151">
        <v>11371</v>
      </c>
      <c r="T3" s="151">
        <v>11134</v>
      </c>
      <c r="U3" s="151">
        <v>11249</v>
      </c>
      <c r="V3" s="151">
        <v>10955</v>
      </c>
      <c r="W3" s="151">
        <v>12107</v>
      </c>
      <c r="X3" s="151">
        <v>12286</v>
      </c>
      <c r="Y3" s="151">
        <v>13074</v>
      </c>
      <c r="Z3" s="151">
        <v>13669</v>
      </c>
      <c r="AA3" s="151">
        <v>14002</v>
      </c>
      <c r="AB3" s="151">
        <v>14815</v>
      </c>
      <c r="AC3" s="58">
        <v>16759.7</v>
      </c>
      <c r="AD3" s="58">
        <v>17039</v>
      </c>
      <c r="AE3" s="59">
        <v>16836.1</v>
      </c>
      <c r="AF3" s="59">
        <v>17036</v>
      </c>
      <c r="AG3" s="59">
        <v>17154</v>
      </c>
      <c r="AH3" s="59">
        <v>18577</v>
      </c>
      <c r="AI3" s="59">
        <v>21375</v>
      </c>
      <c r="AJ3" s="59">
        <v>18631</v>
      </c>
      <c r="AK3" s="59">
        <v>19975</v>
      </c>
      <c r="AL3" s="59">
        <v>20734</v>
      </c>
      <c r="AM3" s="59">
        <v>23079</v>
      </c>
      <c r="AN3" s="59">
        <v>24658</v>
      </c>
      <c r="AO3" s="59">
        <v>22973</v>
      </c>
      <c r="AP3" s="59">
        <v>23281</v>
      </c>
      <c r="AQ3" s="59">
        <v>23725</v>
      </c>
      <c r="AR3" s="59">
        <v>23615</v>
      </c>
      <c r="AS3" s="59">
        <v>25047</v>
      </c>
      <c r="AT3" s="59">
        <v>24240</v>
      </c>
      <c r="AU3" s="59">
        <v>25655</v>
      </c>
      <c r="AV3" s="59">
        <v>25109</v>
      </c>
      <c r="AW3" s="59">
        <v>24050</v>
      </c>
      <c r="AX3" s="58">
        <v>23957</v>
      </c>
      <c r="AY3" s="58">
        <v>24157</v>
      </c>
      <c r="AZ3" s="58">
        <v>24980</v>
      </c>
      <c r="BA3" s="58">
        <v>24841</v>
      </c>
      <c r="BB3" s="58">
        <v>24577</v>
      </c>
      <c r="BC3" s="58">
        <v>25028</v>
      </c>
      <c r="BD3" s="58">
        <v>24702</v>
      </c>
      <c r="BE3" s="58">
        <v>23461</v>
      </c>
      <c r="BF3" s="58">
        <v>23898</v>
      </c>
      <c r="BG3" s="58">
        <v>24319</v>
      </c>
      <c r="BH3" s="58">
        <v>25179</v>
      </c>
      <c r="BI3" s="58">
        <v>25870</v>
      </c>
      <c r="BJ3" s="58">
        <v>25573</v>
      </c>
      <c r="BK3" s="58">
        <v>25788</v>
      </c>
      <c r="BL3" s="58">
        <v>25122</v>
      </c>
      <c r="BM3" s="58">
        <v>24896</v>
      </c>
      <c r="BN3" s="58">
        <v>23807</v>
      </c>
      <c r="BO3" s="58">
        <v>23598</v>
      </c>
      <c r="BP3" s="58">
        <v>23323</v>
      </c>
      <c r="BQ3" s="58">
        <v>23635</v>
      </c>
      <c r="BR3" s="58">
        <v>23549</v>
      </c>
      <c r="BS3" s="58">
        <v>24239</v>
      </c>
      <c r="BT3" s="58">
        <v>24496</v>
      </c>
      <c r="BU3" s="58">
        <v>24221</v>
      </c>
      <c r="BV3" s="58">
        <v>24327</v>
      </c>
      <c r="BW3" s="58">
        <v>24650</v>
      </c>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62"/>
      <c r="DF3" s="58"/>
      <c r="DG3" s="58"/>
      <c r="DH3" s="58"/>
      <c r="DI3" s="58"/>
      <c r="DJ3" s="58"/>
      <c r="DK3" s="58"/>
      <c r="DL3" s="58"/>
      <c r="DM3" s="58"/>
      <c r="DN3" s="58"/>
      <c r="DO3" s="58"/>
      <c r="DP3" s="58"/>
      <c r="DQ3" s="58"/>
      <c r="DR3" s="58"/>
      <c r="DS3" s="58"/>
      <c r="DT3" s="59"/>
      <c r="DU3" s="58"/>
      <c r="DV3" s="58"/>
      <c r="DW3" s="58"/>
      <c r="DX3" s="58"/>
      <c r="DY3" s="58"/>
      <c r="DZ3" s="58"/>
      <c r="EA3" s="58"/>
      <c r="EB3" s="58"/>
      <c r="EC3" s="58"/>
      <c r="ED3" s="58"/>
      <c r="EE3" s="58"/>
      <c r="EF3" s="58"/>
      <c r="EG3" s="58"/>
      <c r="EH3" s="58"/>
      <c r="EI3" s="58"/>
      <c r="EJ3" s="58"/>
      <c r="EK3" s="58"/>
      <c r="EL3" s="58"/>
      <c r="EM3" s="58"/>
      <c r="EN3" s="58"/>
      <c r="EO3" s="58"/>
      <c r="EP3" s="58"/>
      <c r="EQ3" s="58"/>
      <c r="ER3" s="259"/>
      <c r="ES3" s="259"/>
      <c r="ET3" s="259"/>
      <c r="EU3" s="259"/>
      <c r="EV3" s="259"/>
      <c r="EW3" s="259"/>
      <c r="EX3" s="259"/>
      <c r="EY3" s="259"/>
      <c r="EZ3" s="259"/>
      <c r="FA3" s="259"/>
      <c r="FB3" s="259"/>
      <c r="FC3" s="259"/>
      <c r="FD3" s="299"/>
      <c r="FE3" s="300"/>
      <c r="FF3" s="300"/>
      <c r="FG3" s="300"/>
      <c r="FH3" s="300"/>
      <c r="FI3" s="300"/>
      <c r="FJ3" s="300"/>
      <c r="FK3" s="300"/>
      <c r="FL3" s="329"/>
      <c r="FM3" s="329"/>
      <c r="FN3" s="329"/>
      <c r="FO3" s="329"/>
      <c r="FP3" s="361"/>
      <c r="FQ3" s="329"/>
      <c r="FR3" s="329"/>
      <c r="FS3" s="329"/>
      <c r="FT3" s="329"/>
      <c r="FU3" s="329"/>
      <c r="FV3" s="329"/>
      <c r="FW3" s="329"/>
      <c r="FX3" s="329"/>
      <c r="FY3" s="385"/>
      <c r="FZ3" s="385"/>
      <c r="GA3" s="398"/>
      <c r="GB3" s="419"/>
      <c r="GC3" s="385"/>
      <c r="GD3" s="398"/>
      <c r="GE3" s="3"/>
      <c r="GF3" s="3"/>
      <c r="GG3" s="3"/>
      <c r="GH3" s="3"/>
      <c r="GI3" s="132"/>
    </row>
    <row r="4" spans="1:191" ht="15" customHeight="1">
      <c r="A4" s="149"/>
      <c r="B4" s="239" t="s">
        <v>90</v>
      </c>
      <c r="C4" s="150">
        <v>6493.84</v>
      </c>
      <c r="D4" s="150">
        <v>7550.6324</v>
      </c>
      <c r="E4" s="150">
        <v>6700.3225</v>
      </c>
      <c r="F4" s="150">
        <v>7494.193700000001</v>
      </c>
      <c r="G4" s="151">
        <v>7522.559300000001</v>
      </c>
      <c r="H4" s="151">
        <v>7569.846999999999</v>
      </c>
      <c r="I4" s="151">
        <v>7490.1755</v>
      </c>
      <c r="J4" s="151">
        <v>7558.407399999999</v>
      </c>
      <c r="K4" s="151">
        <v>7743.967799999999</v>
      </c>
      <c r="L4" s="151">
        <v>8024.403699999999</v>
      </c>
      <c r="M4" s="151">
        <v>8307.3995</v>
      </c>
      <c r="N4" s="150">
        <v>8681.449600000002</v>
      </c>
      <c r="O4" s="81">
        <v>8850.2262</v>
      </c>
      <c r="P4" s="151">
        <v>9243.4977</v>
      </c>
      <c r="Q4" s="151">
        <v>9489.7296</v>
      </c>
      <c r="R4" s="151">
        <v>9671.1705</v>
      </c>
      <c r="S4" s="151">
        <v>10068.1335</v>
      </c>
      <c r="T4" s="151">
        <v>9905.8225</v>
      </c>
      <c r="U4" s="151">
        <v>10065.3325</v>
      </c>
      <c r="V4" s="151">
        <v>9707.2753</v>
      </c>
      <c r="W4" s="151">
        <v>10193.093099999998</v>
      </c>
      <c r="X4" s="151">
        <v>10517.2862</v>
      </c>
      <c r="Y4" s="151">
        <v>10759.125</v>
      </c>
      <c r="Z4" s="151">
        <v>11299.5974</v>
      </c>
      <c r="AA4" s="151">
        <v>11385.5673</v>
      </c>
      <c r="AB4" s="151">
        <v>11881.564900000001</v>
      </c>
      <c r="AC4" s="58">
        <v>12403.335400000002</v>
      </c>
      <c r="AD4" s="58">
        <v>12600.4681</v>
      </c>
      <c r="AE4" s="59">
        <v>13005.529899999998</v>
      </c>
      <c r="AF4" s="59">
        <v>13008.534700000002</v>
      </c>
      <c r="AG4" s="59">
        <v>13205.886299999998</v>
      </c>
      <c r="AH4" s="59">
        <v>13403.352600000002</v>
      </c>
      <c r="AI4" s="59">
        <v>13776.278099999998</v>
      </c>
      <c r="AJ4" s="59">
        <v>14003.627</v>
      </c>
      <c r="AK4" s="59">
        <v>14200.0992</v>
      </c>
      <c r="AL4" s="59">
        <v>14557.6334</v>
      </c>
      <c r="AM4" s="59">
        <v>15019.772099999998</v>
      </c>
      <c r="AN4" s="59">
        <v>15528.075399999998</v>
      </c>
      <c r="AO4" s="59">
        <v>15341.8698</v>
      </c>
      <c r="AP4" s="59">
        <v>15756.3478</v>
      </c>
      <c r="AQ4" s="59">
        <v>15885.5331</v>
      </c>
      <c r="AR4" s="59">
        <v>15749.833799999999</v>
      </c>
      <c r="AS4" s="59">
        <v>15711.5667</v>
      </c>
      <c r="AT4" s="59">
        <v>15610.7286</v>
      </c>
      <c r="AU4" s="59">
        <v>16017.2808</v>
      </c>
      <c r="AV4" s="59">
        <v>16347.485300000002</v>
      </c>
      <c r="AW4" s="59">
        <v>16506.8272</v>
      </c>
      <c r="AX4" s="58">
        <v>16792.3</v>
      </c>
      <c r="AY4" s="58">
        <v>16864.96</v>
      </c>
      <c r="AZ4" s="58">
        <v>17197.4</v>
      </c>
      <c r="BA4" s="58">
        <v>17458.9</v>
      </c>
      <c r="BB4" s="58">
        <v>17663.4</v>
      </c>
      <c r="BC4" s="58">
        <v>18412.8</v>
      </c>
      <c r="BD4" s="58">
        <v>18066.9</v>
      </c>
      <c r="BE4" s="58">
        <v>17654.7</v>
      </c>
      <c r="BF4" s="58">
        <v>17733</v>
      </c>
      <c r="BG4" s="58">
        <v>17933</v>
      </c>
      <c r="BH4" s="58">
        <v>18459</v>
      </c>
      <c r="BI4" s="58">
        <v>18749</v>
      </c>
      <c r="BJ4" s="58">
        <v>18928</v>
      </c>
      <c r="BK4" s="58">
        <v>18846</v>
      </c>
      <c r="BL4" s="58">
        <v>18777</v>
      </c>
      <c r="BM4" s="58">
        <v>18698</v>
      </c>
      <c r="BN4" s="58">
        <v>19133</v>
      </c>
      <c r="BO4" s="58">
        <v>19117</v>
      </c>
      <c r="BP4" s="58">
        <v>18914</v>
      </c>
      <c r="BQ4" s="58">
        <v>19209</v>
      </c>
      <c r="BR4" s="58">
        <v>19137</v>
      </c>
      <c r="BS4" s="58">
        <v>19861</v>
      </c>
      <c r="BT4" s="58">
        <v>19979</v>
      </c>
      <c r="BU4" s="58">
        <v>19786</v>
      </c>
      <c r="BV4" s="58">
        <v>19834</v>
      </c>
      <c r="BW4" s="58">
        <v>19997</v>
      </c>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9"/>
      <c r="DU4" s="58"/>
      <c r="DV4" s="58"/>
      <c r="DW4" s="58"/>
      <c r="DX4" s="58"/>
      <c r="DY4" s="58"/>
      <c r="DZ4" s="58"/>
      <c r="EA4" s="58"/>
      <c r="EB4" s="58"/>
      <c r="EC4" s="58"/>
      <c r="ED4" s="58"/>
      <c r="EE4" s="58"/>
      <c r="EF4" s="58"/>
      <c r="EG4" s="58"/>
      <c r="EH4" s="58"/>
      <c r="EI4" s="58"/>
      <c r="EJ4" s="58"/>
      <c r="EK4" s="58"/>
      <c r="EL4" s="58"/>
      <c r="EM4" s="58"/>
      <c r="EN4" s="58"/>
      <c r="EO4" s="58"/>
      <c r="EP4" s="58"/>
      <c r="EQ4" s="58"/>
      <c r="ER4" s="259"/>
      <c r="ES4" s="259"/>
      <c r="ET4" s="259"/>
      <c r="EU4" s="259"/>
      <c r="EV4" s="259"/>
      <c r="EW4" s="259"/>
      <c r="EX4" s="259"/>
      <c r="EY4" s="259"/>
      <c r="EZ4" s="259"/>
      <c r="FA4" s="259"/>
      <c r="FB4" s="259"/>
      <c r="FC4" s="259"/>
      <c r="FD4" s="299"/>
      <c r="FE4" s="300"/>
      <c r="FF4" s="300"/>
      <c r="FG4" s="300"/>
      <c r="FH4" s="300"/>
      <c r="FI4" s="300"/>
      <c r="FJ4" s="300"/>
      <c r="FK4" s="300"/>
      <c r="FL4" s="329"/>
      <c r="FM4" s="329"/>
      <c r="FN4" s="329"/>
      <c r="FO4" s="329"/>
      <c r="FP4" s="361"/>
      <c r="FQ4" s="329"/>
      <c r="FR4" s="329"/>
      <c r="FS4" s="329"/>
      <c r="FT4" s="329"/>
      <c r="FU4" s="329"/>
      <c r="FV4" s="329"/>
      <c r="FW4" s="329"/>
      <c r="FX4" s="329"/>
      <c r="FY4" s="385"/>
      <c r="FZ4" s="385"/>
      <c r="GA4" s="398"/>
      <c r="GB4" s="419"/>
      <c r="GC4" s="385"/>
      <c r="GD4" s="398"/>
      <c r="GE4" s="3"/>
      <c r="GF4" s="3"/>
      <c r="GG4" s="3"/>
      <c r="GH4" s="3"/>
      <c r="GI4" s="132"/>
    </row>
    <row r="5" spans="1:191" ht="15" customHeight="1">
      <c r="A5" s="149"/>
      <c r="B5" s="186" t="s">
        <v>142</v>
      </c>
      <c r="C5" s="150"/>
      <c r="D5" s="150"/>
      <c r="E5" s="150"/>
      <c r="F5" s="150"/>
      <c r="G5" s="151"/>
      <c r="H5" s="151"/>
      <c r="I5" s="151"/>
      <c r="J5" s="151"/>
      <c r="K5" s="151"/>
      <c r="L5" s="151"/>
      <c r="M5" s="151"/>
      <c r="N5" s="150"/>
      <c r="O5" s="81"/>
      <c r="P5" s="151"/>
      <c r="Q5" s="151"/>
      <c r="R5" s="151"/>
      <c r="S5" s="151"/>
      <c r="T5" s="151"/>
      <c r="U5" s="151"/>
      <c r="V5" s="151"/>
      <c r="W5" s="151"/>
      <c r="X5" s="151"/>
      <c r="Y5" s="151"/>
      <c r="Z5" s="151"/>
      <c r="AA5" s="151"/>
      <c r="AB5" s="151"/>
      <c r="AC5" s="58"/>
      <c r="AD5" s="58"/>
      <c r="AE5" s="59"/>
      <c r="AF5" s="59"/>
      <c r="AG5" s="59"/>
      <c r="AH5" s="59"/>
      <c r="AI5" s="59"/>
      <c r="AJ5" s="59"/>
      <c r="AK5" s="59"/>
      <c r="AL5" s="59"/>
      <c r="AM5" s="59"/>
      <c r="AN5" s="59"/>
      <c r="AO5" s="59"/>
      <c r="AP5" s="59"/>
      <c r="AQ5" s="59"/>
      <c r="AR5" s="59"/>
      <c r="AS5" s="59"/>
      <c r="AT5" s="59"/>
      <c r="AU5" s="59"/>
      <c r="AV5" s="59"/>
      <c r="AW5" s="59"/>
      <c r="AX5" s="58"/>
      <c r="AY5" s="58"/>
      <c r="AZ5" s="58"/>
      <c r="BA5" s="58"/>
      <c r="BB5" s="58"/>
      <c r="BC5" s="58"/>
      <c r="BD5" s="58"/>
      <c r="BE5" s="58"/>
      <c r="BF5" s="58"/>
      <c r="BG5" s="58"/>
      <c r="BH5" s="58"/>
      <c r="BI5" s="58"/>
      <c r="BJ5" s="58"/>
      <c r="BK5" s="58"/>
      <c r="BL5" s="60">
        <v>120.6</v>
      </c>
      <c r="BM5" s="60">
        <v>120.6</v>
      </c>
      <c r="BN5" s="60">
        <v>119.7</v>
      </c>
      <c r="BO5" s="60">
        <v>120.3</v>
      </c>
      <c r="BP5" s="60">
        <v>121.1</v>
      </c>
      <c r="BQ5" s="60">
        <v>120.6</v>
      </c>
      <c r="BR5" s="60">
        <v>122.3</v>
      </c>
      <c r="BS5" s="60">
        <v>123.9</v>
      </c>
      <c r="BT5" s="60">
        <v>124</v>
      </c>
      <c r="BU5" s="60">
        <v>123.7</v>
      </c>
      <c r="BV5" s="60">
        <v>124.5</v>
      </c>
      <c r="BW5" s="60">
        <v>123.8</v>
      </c>
      <c r="BX5" s="60">
        <v>123.3</v>
      </c>
      <c r="BY5" s="60">
        <v>123.6</v>
      </c>
      <c r="BZ5" s="60">
        <v>123.8</v>
      </c>
      <c r="CA5" s="60">
        <v>123.8</v>
      </c>
      <c r="CB5" s="60">
        <v>123</v>
      </c>
      <c r="CC5" s="60">
        <v>122.6</v>
      </c>
      <c r="CD5" s="60">
        <v>123</v>
      </c>
      <c r="CE5" s="60">
        <v>126</v>
      </c>
      <c r="CF5" s="60">
        <v>127.3</v>
      </c>
      <c r="CG5" s="60">
        <v>128.1</v>
      </c>
      <c r="CH5" s="60">
        <v>128.3</v>
      </c>
      <c r="CI5" s="60">
        <v>127.9</v>
      </c>
      <c r="CJ5" s="60">
        <v>130.5</v>
      </c>
      <c r="CK5" s="60">
        <v>130.9</v>
      </c>
      <c r="CL5" s="60">
        <v>130</v>
      </c>
      <c r="CM5" s="60">
        <v>131</v>
      </c>
      <c r="CN5" s="60">
        <v>131.1</v>
      </c>
      <c r="CO5" s="60">
        <v>130.1</v>
      </c>
      <c r="CP5" s="60">
        <v>130.6</v>
      </c>
      <c r="CQ5" s="60">
        <v>132.6</v>
      </c>
      <c r="CR5" s="60">
        <v>133.8</v>
      </c>
      <c r="CS5" s="60">
        <v>134.2</v>
      </c>
      <c r="CT5" s="60">
        <v>134.4</v>
      </c>
      <c r="CU5" s="60">
        <v>135.6</v>
      </c>
      <c r="CV5" s="60">
        <v>137.5</v>
      </c>
      <c r="CW5" s="60">
        <v>138.4</v>
      </c>
      <c r="CX5" s="60">
        <v>140.8</v>
      </c>
      <c r="CY5" s="260">
        <v>142.4</v>
      </c>
      <c r="CZ5" s="260">
        <v>140.6</v>
      </c>
      <c r="DA5" s="260">
        <v>137.7</v>
      </c>
      <c r="DB5" s="260">
        <v>138.1</v>
      </c>
      <c r="DC5" s="260">
        <v>141.9</v>
      </c>
      <c r="DD5" s="261">
        <v>142.3</v>
      </c>
      <c r="DE5" s="261">
        <v>140.6</v>
      </c>
      <c r="DF5" s="261">
        <v>140.5</v>
      </c>
      <c r="DG5" s="261">
        <v>140.5</v>
      </c>
      <c r="DH5" s="261">
        <v>141.3</v>
      </c>
      <c r="DI5" s="261">
        <v>141.4</v>
      </c>
      <c r="DJ5" s="261">
        <v>142.6</v>
      </c>
      <c r="DK5" s="261">
        <v>144.1</v>
      </c>
      <c r="DL5" s="261">
        <v>142.2</v>
      </c>
      <c r="DM5" s="261">
        <v>140.9</v>
      </c>
      <c r="DN5" s="261">
        <v>141.5</v>
      </c>
      <c r="DO5" s="261">
        <v>142</v>
      </c>
      <c r="DP5" s="261">
        <v>142.7</v>
      </c>
      <c r="DQ5" s="261">
        <v>145</v>
      </c>
      <c r="DR5" s="261">
        <v>144.3</v>
      </c>
      <c r="DS5" s="261">
        <v>144.9</v>
      </c>
      <c r="DT5" s="262">
        <v>147</v>
      </c>
      <c r="DU5" s="261">
        <v>145.7</v>
      </c>
      <c r="DV5" s="261">
        <v>145.5</v>
      </c>
      <c r="DW5" s="261">
        <v>146.2</v>
      </c>
      <c r="DX5" s="261">
        <v>144.2</v>
      </c>
      <c r="DY5" s="261">
        <v>144.1</v>
      </c>
      <c r="DZ5" s="261">
        <v>144.8</v>
      </c>
      <c r="EA5" s="261">
        <v>145.9</v>
      </c>
      <c r="EB5" s="261">
        <v>145.7</v>
      </c>
      <c r="EC5" s="261">
        <v>146.3</v>
      </c>
      <c r="ED5" s="261">
        <v>148.6</v>
      </c>
      <c r="EE5" s="261">
        <v>147.2</v>
      </c>
      <c r="EF5" s="261">
        <v>146.4</v>
      </c>
      <c r="EG5" s="159">
        <v>146.2</v>
      </c>
      <c r="EH5" s="261">
        <v>145.8</v>
      </c>
      <c r="EI5" s="159">
        <v>147</v>
      </c>
      <c r="EJ5" s="159">
        <v>146.6</v>
      </c>
      <c r="EK5" s="159">
        <v>147.2</v>
      </c>
      <c r="EL5" s="159">
        <v>148.6</v>
      </c>
      <c r="EM5" s="159">
        <v>149.7</v>
      </c>
      <c r="EN5" s="159">
        <v>148.8</v>
      </c>
      <c r="EO5" s="159">
        <v>148.6</v>
      </c>
      <c r="EP5" s="159">
        <v>150.1</v>
      </c>
      <c r="EQ5" s="159">
        <v>150.6</v>
      </c>
      <c r="ER5" s="263"/>
      <c r="ES5" s="263"/>
      <c r="ET5" s="263"/>
      <c r="EU5" s="263"/>
      <c r="EV5" s="159"/>
      <c r="EW5" s="159"/>
      <c r="EX5" s="159"/>
      <c r="EY5" s="159"/>
      <c r="EZ5" s="159"/>
      <c r="FA5" s="159"/>
      <c r="FB5" s="159"/>
      <c r="FC5" s="159"/>
      <c r="FD5" s="301"/>
      <c r="FE5" s="134"/>
      <c r="FF5" s="134"/>
      <c r="FG5" s="134"/>
      <c r="FH5" s="134"/>
      <c r="FI5" s="134"/>
      <c r="FJ5" s="134"/>
      <c r="FK5" s="134"/>
      <c r="FL5" s="134"/>
      <c r="FM5" s="134"/>
      <c r="FN5" s="134"/>
      <c r="FO5" s="134"/>
      <c r="FP5" s="301"/>
      <c r="FQ5" s="134"/>
      <c r="FR5" s="134"/>
      <c r="FS5" s="134"/>
      <c r="FT5" s="134"/>
      <c r="FU5" s="134"/>
      <c r="FV5" s="134"/>
      <c r="FW5" s="134"/>
      <c r="FX5" s="134"/>
      <c r="FY5" s="134"/>
      <c r="FZ5" s="134"/>
      <c r="GA5" s="363"/>
      <c r="GB5" s="301"/>
      <c r="GC5" s="134"/>
      <c r="GD5" s="363"/>
      <c r="GE5" s="3"/>
      <c r="GF5" s="3"/>
      <c r="GG5" s="3"/>
      <c r="GH5" s="3"/>
      <c r="GI5" s="132"/>
    </row>
    <row r="6" spans="1:191" ht="15" customHeight="1">
      <c r="A6" s="149"/>
      <c r="B6" s="239" t="s">
        <v>140</v>
      </c>
      <c r="C6" s="150"/>
      <c r="D6" s="150"/>
      <c r="E6" s="150"/>
      <c r="F6" s="150"/>
      <c r="G6" s="151"/>
      <c r="H6" s="151"/>
      <c r="I6" s="151"/>
      <c r="J6" s="151"/>
      <c r="K6" s="151"/>
      <c r="L6" s="151"/>
      <c r="M6" s="151"/>
      <c r="N6" s="150"/>
      <c r="O6" s="81"/>
      <c r="P6" s="151"/>
      <c r="Q6" s="151"/>
      <c r="R6" s="151"/>
      <c r="S6" s="151"/>
      <c r="T6" s="151"/>
      <c r="U6" s="151"/>
      <c r="V6" s="151"/>
      <c r="W6" s="151"/>
      <c r="X6" s="151"/>
      <c r="Y6" s="151"/>
      <c r="Z6" s="151"/>
      <c r="AA6" s="151"/>
      <c r="AB6" s="151"/>
      <c r="AC6" s="58"/>
      <c r="AD6" s="58"/>
      <c r="AE6" s="59"/>
      <c r="AF6" s="59"/>
      <c r="AG6" s="59"/>
      <c r="AH6" s="59"/>
      <c r="AI6" s="59"/>
      <c r="AJ6" s="59"/>
      <c r="AK6" s="59"/>
      <c r="AL6" s="59"/>
      <c r="AM6" s="59"/>
      <c r="AN6" s="59"/>
      <c r="AO6" s="59"/>
      <c r="AP6" s="59"/>
      <c r="AQ6" s="59"/>
      <c r="AR6" s="59"/>
      <c r="AS6" s="59"/>
      <c r="AT6" s="59"/>
      <c r="AU6" s="59"/>
      <c r="AV6" s="59"/>
      <c r="AW6" s="59"/>
      <c r="AX6" s="58"/>
      <c r="AY6" s="58"/>
      <c r="AZ6" s="58"/>
      <c r="BA6" s="58"/>
      <c r="BB6" s="58"/>
      <c r="BC6" s="58"/>
      <c r="BD6" s="58"/>
      <c r="BE6" s="58"/>
      <c r="BF6" s="58"/>
      <c r="BG6" s="58"/>
      <c r="BH6" s="58"/>
      <c r="BI6" s="58"/>
      <c r="BJ6" s="58"/>
      <c r="BK6" s="58"/>
      <c r="BL6" s="60">
        <v>119.1</v>
      </c>
      <c r="BM6" s="60">
        <v>119.3</v>
      </c>
      <c r="BN6" s="60">
        <v>119.1</v>
      </c>
      <c r="BO6" s="60">
        <v>120</v>
      </c>
      <c r="BP6" s="60">
        <v>120.1</v>
      </c>
      <c r="BQ6" s="60">
        <v>120.4</v>
      </c>
      <c r="BR6" s="60">
        <v>121.9</v>
      </c>
      <c r="BS6" s="60">
        <v>122.5</v>
      </c>
      <c r="BT6" s="60">
        <v>123.2</v>
      </c>
      <c r="BU6" s="60">
        <v>123.3</v>
      </c>
      <c r="BV6" s="60">
        <v>123.6</v>
      </c>
      <c r="BW6" s="60">
        <v>123.5</v>
      </c>
      <c r="BX6" s="60">
        <v>123.6</v>
      </c>
      <c r="BY6" s="60">
        <v>123.3</v>
      </c>
      <c r="BZ6" s="60">
        <v>123.4</v>
      </c>
      <c r="CA6" s="60">
        <v>123.6</v>
      </c>
      <c r="CB6" s="60">
        <v>123.7</v>
      </c>
      <c r="CC6" s="60">
        <v>123.7</v>
      </c>
      <c r="CD6" s="60">
        <v>124.1</v>
      </c>
      <c r="CE6" s="60">
        <v>124.8</v>
      </c>
      <c r="CF6" s="60">
        <v>125.5</v>
      </c>
      <c r="CG6" s="60">
        <v>127.2</v>
      </c>
      <c r="CH6" s="60">
        <v>127.4</v>
      </c>
      <c r="CI6" s="60">
        <v>127.6</v>
      </c>
      <c r="CJ6" s="60">
        <v>130.1</v>
      </c>
      <c r="CK6" s="60">
        <v>130.1</v>
      </c>
      <c r="CL6" s="60">
        <v>130.4</v>
      </c>
      <c r="CM6" s="60">
        <v>131.1</v>
      </c>
      <c r="CN6" s="60">
        <v>131.5</v>
      </c>
      <c r="CO6" s="60">
        <v>131.6</v>
      </c>
      <c r="CP6" s="60">
        <v>132.9</v>
      </c>
      <c r="CQ6" s="60">
        <v>134.3</v>
      </c>
      <c r="CR6" s="60">
        <v>134.6</v>
      </c>
      <c r="CS6" s="60">
        <v>136</v>
      </c>
      <c r="CT6" s="60">
        <v>135.6</v>
      </c>
      <c r="CU6" s="60">
        <v>136.5</v>
      </c>
      <c r="CV6" s="60">
        <v>138</v>
      </c>
      <c r="CW6" s="60">
        <v>138.3</v>
      </c>
      <c r="CX6" s="60">
        <v>138.5</v>
      </c>
      <c r="CY6" s="260">
        <v>139.9</v>
      </c>
      <c r="CZ6" s="260">
        <v>139.7</v>
      </c>
      <c r="DA6" s="260">
        <v>139.6</v>
      </c>
      <c r="DB6" s="260">
        <v>140.7</v>
      </c>
      <c r="DC6" s="260">
        <v>141</v>
      </c>
      <c r="DD6" s="261">
        <v>141.6</v>
      </c>
      <c r="DE6" s="261">
        <v>142.2</v>
      </c>
      <c r="DF6" s="261">
        <v>142.2</v>
      </c>
      <c r="DG6" s="261">
        <v>142.3</v>
      </c>
      <c r="DH6" s="261">
        <v>143.1</v>
      </c>
      <c r="DI6" s="261">
        <v>143</v>
      </c>
      <c r="DJ6" s="261">
        <v>143</v>
      </c>
      <c r="DK6" s="261">
        <v>143.4</v>
      </c>
      <c r="DL6" s="261">
        <v>143.6</v>
      </c>
      <c r="DM6" s="261">
        <v>143.5</v>
      </c>
      <c r="DN6" s="261">
        <v>143.9</v>
      </c>
      <c r="DO6" s="261">
        <v>143.9</v>
      </c>
      <c r="DP6" s="261">
        <v>143.8</v>
      </c>
      <c r="DQ6" s="261">
        <v>144.5</v>
      </c>
      <c r="DR6" s="261">
        <v>144</v>
      </c>
      <c r="DS6" s="261">
        <v>144.6</v>
      </c>
      <c r="DT6" s="262">
        <v>144.7</v>
      </c>
      <c r="DU6" s="261">
        <v>144.8</v>
      </c>
      <c r="DV6" s="261">
        <v>145</v>
      </c>
      <c r="DW6" s="261">
        <v>145.3</v>
      </c>
      <c r="DX6" s="261">
        <v>145.3</v>
      </c>
      <c r="DY6" s="261">
        <v>145.5</v>
      </c>
      <c r="DZ6" s="261">
        <v>146.9</v>
      </c>
      <c r="EA6" s="261">
        <v>146.9</v>
      </c>
      <c r="EB6" s="261">
        <v>146.8</v>
      </c>
      <c r="EC6" s="261">
        <v>147.1</v>
      </c>
      <c r="ED6" s="261">
        <v>147</v>
      </c>
      <c r="EE6" s="261">
        <v>147.2</v>
      </c>
      <c r="EF6" s="261">
        <v>147.3</v>
      </c>
      <c r="EG6" s="159">
        <v>147.4</v>
      </c>
      <c r="EH6" s="261">
        <v>147.3</v>
      </c>
      <c r="EI6" s="159">
        <v>147.7</v>
      </c>
      <c r="EJ6" s="159">
        <v>147.9</v>
      </c>
      <c r="EK6" s="159">
        <v>148.5</v>
      </c>
      <c r="EL6" s="159">
        <v>148.9</v>
      </c>
      <c r="EM6" s="159">
        <v>149.6</v>
      </c>
      <c r="EN6" s="159">
        <v>149.3</v>
      </c>
      <c r="EO6" s="159">
        <v>149.4</v>
      </c>
      <c r="EP6" s="159">
        <v>149.2</v>
      </c>
      <c r="EQ6" s="159">
        <v>149.3</v>
      </c>
      <c r="ER6" s="263"/>
      <c r="ES6" s="263"/>
      <c r="ET6" s="263"/>
      <c r="EU6" s="263"/>
      <c r="EV6" s="159"/>
      <c r="EW6" s="159"/>
      <c r="EX6" s="159"/>
      <c r="EY6" s="159"/>
      <c r="EZ6" s="159"/>
      <c r="FA6" s="159"/>
      <c r="FB6" s="159"/>
      <c r="FC6" s="159"/>
      <c r="FD6" s="301"/>
      <c r="FE6" s="134"/>
      <c r="FF6" s="134"/>
      <c r="FG6" s="134"/>
      <c r="FH6" s="134"/>
      <c r="FI6" s="134"/>
      <c r="FJ6" s="134"/>
      <c r="FK6" s="134"/>
      <c r="FL6" s="134"/>
      <c r="FM6" s="134"/>
      <c r="FN6" s="134"/>
      <c r="FO6" s="134"/>
      <c r="FP6" s="301"/>
      <c r="FQ6" s="134"/>
      <c r="FR6" s="134"/>
      <c r="FS6" s="134"/>
      <c r="FT6" s="134"/>
      <c r="FU6" s="134"/>
      <c r="FV6" s="134"/>
      <c r="FW6" s="134"/>
      <c r="FX6" s="134"/>
      <c r="FY6" s="134"/>
      <c r="FZ6" s="134"/>
      <c r="GA6" s="363"/>
      <c r="GB6" s="301"/>
      <c r="GC6" s="134"/>
      <c r="GD6" s="363"/>
      <c r="GE6" s="3"/>
      <c r="GF6" s="3"/>
      <c r="GG6" s="3"/>
      <c r="GH6" s="3"/>
      <c r="GI6" s="132"/>
    </row>
    <row r="7" spans="1:191" ht="15" customHeight="1">
      <c r="A7" s="149"/>
      <c r="B7" s="186" t="s">
        <v>141</v>
      </c>
      <c r="C7" s="150"/>
      <c r="D7" s="150"/>
      <c r="E7" s="150"/>
      <c r="F7" s="150"/>
      <c r="G7" s="151"/>
      <c r="H7" s="151"/>
      <c r="I7" s="151"/>
      <c r="J7" s="151"/>
      <c r="K7" s="151"/>
      <c r="L7" s="151"/>
      <c r="M7" s="151"/>
      <c r="N7" s="150"/>
      <c r="O7" s="81"/>
      <c r="P7" s="151"/>
      <c r="Q7" s="151"/>
      <c r="R7" s="151"/>
      <c r="S7" s="151"/>
      <c r="T7" s="151"/>
      <c r="U7" s="151"/>
      <c r="V7" s="151"/>
      <c r="W7" s="151"/>
      <c r="X7" s="151"/>
      <c r="Y7" s="151"/>
      <c r="Z7" s="151"/>
      <c r="AA7" s="151"/>
      <c r="AB7" s="151"/>
      <c r="AC7" s="58"/>
      <c r="AD7" s="58"/>
      <c r="AE7" s="59"/>
      <c r="AF7" s="59"/>
      <c r="AG7" s="59"/>
      <c r="AH7" s="59"/>
      <c r="AI7" s="59"/>
      <c r="AJ7" s="59"/>
      <c r="AK7" s="59"/>
      <c r="AL7" s="59"/>
      <c r="AM7" s="59"/>
      <c r="AN7" s="59"/>
      <c r="AO7" s="59"/>
      <c r="AP7" s="59"/>
      <c r="AQ7" s="59"/>
      <c r="AR7" s="59"/>
      <c r="AS7" s="59"/>
      <c r="AT7" s="59"/>
      <c r="AU7" s="59"/>
      <c r="AV7" s="59"/>
      <c r="AW7" s="59"/>
      <c r="AX7" s="58"/>
      <c r="AY7" s="58"/>
      <c r="AZ7" s="58"/>
      <c r="BA7" s="58"/>
      <c r="BB7" s="58"/>
      <c r="BC7" s="58"/>
      <c r="BD7" s="58"/>
      <c r="BE7" s="58"/>
      <c r="BF7" s="58"/>
      <c r="BG7" s="58"/>
      <c r="BH7" s="58"/>
      <c r="BI7" s="58"/>
      <c r="BJ7" s="58"/>
      <c r="BK7" s="58"/>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260"/>
      <c r="CZ7" s="260"/>
      <c r="DA7" s="260"/>
      <c r="DB7" s="260"/>
      <c r="DC7" s="260"/>
      <c r="DD7" s="261"/>
      <c r="DE7" s="261"/>
      <c r="DF7" s="261"/>
      <c r="DG7" s="261"/>
      <c r="DH7" s="261"/>
      <c r="DI7" s="261"/>
      <c r="DJ7" s="261"/>
      <c r="DK7" s="261"/>
      <c r="DL7" s="261"/>
      <c r="DM7" s="261"/>
      <c r="DN7" s="261"/>
      <c r="DO7" s="261"/>
      <c r="DP7" s="261"/>
      <c r="DQ7" s="261"/>
      <c r="DR7" s="261"/>
      <c r="DS7" s="261"/>
      <c r="DT7" s="262"/>
      <c r="DU7" s="261"/>
      <c r="DV7" s="261"/>
      <c r="DW7" s="261"/>
      <c r="DX7" s="261"/>
      <c r="DY7" s="261"/>
      <c r="DZ7" s="261"/>
      <c r="EA7" s="261"/>
      <c r="EB7" s="261"/>
      <c r="EC7" s="261"/>
      <c r="ED7" s="261"/>
      <c r="EE7" s="261"/>
      <c r="EF7" s="261">
        <v>105.8</v>
      </c>
      <c r="EG7" s="159">
        <v>103.3</v>
      </c>
      <c r="EH7" s="261">
        <v>102.4</v>
      </c>
      <c r="EI7" s="159">
        <v>102</v>
      </c>
      <c r="EJ7" s="159">
        <v>101.3</v>
      </c>
      <c r="EK7" s="159">
        <v>103.4</v>
      </c>
      <c r="EL7" s="159">
        <v>104</v>
      </c>
      <c r="EM7" s="159">
        <v>104.2</v>
      </c>
      <c r="EN7" s="159">
        <v>104.3</v>
      </c>
      <c r="EO7" s="159">
        <v>104.1</v>
      </c>
      <c r="EP7" s="159">
        <v>104.6</v>
      </c>
      <c r="EQ7" s="159">
        <v>104.5</v>
      </c>
      <c r="ER7" s="159">
        <v>104.8</v>
      </c>
      <c r="ES7" s="159">
        <v>104.9</v>
      </c>
      <c r="ET7" s="159">
        <v>104.2</v>
      </c>
      <c r="EU7" s="159">
        <v>104.1</v>
      </c>
      <c r="EV7" s="159">
        <v>103.8</v>
      </c>
      <c r="EW7" s="159">
        <v>103.5</v>
      </c>
      <c r="EX7" s="159">
        <v>103.6</v>
      </c>
      <c r="EY7" s="159">
        <v>104.4</v>
      </c>
      <c r="EZ7" s="159">
        <v>104.6</v>
      </c>
      <c r="FA7" s="159">
        <v>104.3</v>
      </c>
      <c r="FB7" s="159">
        <v>103.6</v>
      </c>
      <c r="FC7" s="159">
        <v>103.8</v>
      </c>
      <c r="FD7" s="301">
        <v>103.9</v>
      </c>
      <c r="FE7" s="134">
        <v>104.1</v>
      </c>
      <c r="FF7" s="134">
        <v>104.5</v>
      </c>
      <c r="FG7" s="134">
        <v>105.1</v>
      </c>
      <c r="FH7" s="134">
        <v>103.9</v>
      </c>
      <c r="FI7" s="134">
        <v>103.4</v>
      </c>
      <c r="FJ7" s="134">
        <v>104.3</v>
      </c>
      <c r="FK7" s="134">
        <v>104.6</v>
      </c>
      <c r="FL7" s="134">
        <v>105</v>
      </c>
      <c r="FM7" s="134">
        <v>104.4</v>
      </c>
      <c r="FN7" s="134">
        <v>104.3</v>
      </c>
      <c r="FO7" s="363">
        <v>104.6</v>
      </c>
      <c r="FP7" s="301">
        <v>104.3</v>
      </c>
      <c r="FQ7" s="134">
        <v>104</v>
      </c>
      <c r="FR7" s="134">
        <v>103.7</v>
      </c>
      <c r="FS7" s="134">
        <v>103.7</v>
      </c>
      <c r="FT7" s="134">
        <v>104.6</v>
      </c>
      <c r="FU7" s="134">
        <v>105.2</v>
      </c>
      <c r="FV7" s="134">
        <v>105.9</v>
      </c>
      <c r="FW7" s="134">
        <v>104.8</v>
      </c>
      <c r="FX7" s="134">
        <v>105.1</v>
      </c>
      <c r="FY7" s="134">
        <v>105.6</v>
      </c>
      <c r="FZ7" s="134">
        <v>105.1</v>
      </c>
      <c r="GA7" s="363">
        <v>104.5</v>
      </c>
      <c r="GB7" s="301">
        <v>104.9</v>
      </c>
      <c r="GC7" s="134">
        <v>104.4</v>
      </c>
      <c r="GD7" s="363"/>
      <c r="GE7" s="3"/>
      <c r="GF7" s="3"/>
      <c r="GG7" s="3"/>
      <c r="GH7" s="3"/>
      <c r="GI7" s="132"/>
    </row>
    <row r="8" spans="1:191" ht="15" customHeight="1">
      <c r="A8" s="149"/>
      <c r="B8" s="239" t="s">
        <v>143</v>
      </c>
      <c r="C8" s="150"/>
      <c r="D8" s="150"/>
      <c r="E8" s="150"/>
      <c r="F8" s="150"/>
      <c r="G8" s="151"/>
      <c r="H8" s="151"/>
      <c r="I8" s="151"/>
      <c r="J8" s="151"/>
      <c r="K8" s="151"/>
      <c r="L8" s="151"/>
      <c r="M8" s="151"/>
      <c r="N8" s="150"/>
      <c r="O8" s="81"/>
      <c r="P8" s="151"/>
      <c r="Q8" s="151"/>
      <c r="R8" s="151"/>
      <c r="S8" s="151"/>
      <c r="T8" s="151"/>
      <c r="U8" s="151"/>
      <c r="V8" s="151"/>
      <c r="W8" s="151"/>
      <c r="X8" s="151"/>
      <c r="Y8" s="151"/>
      <c r="Z8" s="151"/>
      <c r="AA8" s="151"/>
      <c r="AB8" s="151"/>
      <c r="AC8" s="58"/>
      <c r="AD8" s="58"/>
      <c r="AE8" s="59"/>
      <c r="AF8" s="59"/>
      <c r="AG8" s="59"/>
      <c r="AH8" s="59"/>
      <c r="AI8" s="59"/>
      <c r="AJ8" s="59"/>
      <c r="AK8" s="59"/>
      <c r="AL8" s="59"/>
      <c r="AM8" s="59"/>
      <c r="AN8" s="59"/>
      <c r="AO8" s="59"/>
      <c r="AP8" s="59"/>
      <c r="AQ8" s="59"/>
      <c r="AR8" s="59"/>
      <c r="AS8" s="59"/>
      <c r="AT8" s="59"/>
      <c r="AU8" s="59"/>
      <c r="AV8" s="59"/>
      <c r="AW8" s="59"/>
      <c r="AX8" s="58"/>
      <c r="AY8" s="58"/>
      <c r="AZ8" s="58"/>
      <c r="BA8" s="58"/>
      <c r="BB8" s="58"/>
      <c r="BC8" s="58"/>
      <c r="BD8" s="58"/>
      <c r="BE8" s="58"/>
      <c r="BF8" s="58"/>
      <c r="BG8" s="58"/>
      <c r="BH8" s="58"/>
      <c r="BI8" s="58"/>
      <c r="BJ8" s="58"/>
      <c r="BK8" s="58"/>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260"/>
      <c r="CZ8" s="260"/>
      <c r="DA8" s="260"/>
      <c r="DB8" s="260"/>
      <c r="DC8" s="260"/>
      <c r="DD8" s="261"/>
      <c r="DE8" s="261"/>
      <c r="DF8" s="261"/>
      <c r="DG8" s="261"/>
      <c r="DH8" s="261"/>
      <c r="DI8" s="261"/>
      <c r="DJ8" s="261"/>
      <c r="DK8" s="261"/>
      <c r="DL8" s="261"/>
      <c r="DM8" s="261"/>
      <c r="DN8" s="261"/>
      <c r="DO8" s="261"/>
      <c r="DP8" s="261"/>
      <c r="DQ8" s="261"/>
      <c r="DR8" s="261"/>
      <c r="DS8" s="261"/>
      <c r="DT8" s="262"/>
      <c r="DU8" s="261"/>
      <c r="DV8" s="261"/>
      <c r="DW8" s="261"/>
      <c r="DX8" s="261"/>
      <c r="DY8" s="261"/>
      <c r="DZ8" s="261"/>
      <c r="EA8" s="261"/>
      <c r="EB8" s="261"/>
      <c r="EC8" s="261"/>
      <c r="ED8" s="261"/>
      <c r="EE8" s="261"/>
      <c r="EF8" s="261">
        <v>107</v>
      </c>
      <c r="EG8" s="159">
        <v>102.6</v>
      </c>
      <c r="EH8" s="261">
        <v>101.7</v>
      </c>
      <c r="EI8" s="159">
        <v>101.9</v>
      </c>
      <c r="EJ8" s="159">
        <v>101.2</v>
      </c>
      <c r="EK8" s="159">
        <v>103</v>
      </c>
      <c r="EL8" s="159">
        <v>102.8</v>
      </c>
      <c r="EM8" s="159">
        <v>103.1</v>
      </c>
      <c r="EN8" s="159">
        <v>103.4</v>
      </c>
      <c r="EO8" s="159">
        <v>103.2</v>
      </c>
      <c r="EP8" s="159">
        <v>103.3</v>
      </c>
      <c r="EQ8" s="159">
        <v>103.2</v>
      </c>
      <c r="ER8" s="159">
        <v>104.8</v>
      </c>
      <c r="ES8" s="159">
        <v>104.9</v>
      </c>
      <c r="ET8" s="159">
        <v>104.3</v>
      </c>
      <c r="EU8" s="159">
        <v>103.8</v>
      </c>
      <c r="EV8" s="159">
        <v>104.2</v>
      </c>
      <c r="EW8" s="159">
        <v>104.4</v>
      </c>
      <c r="EX8" s="159">
        <v>104.6</v>
      </c>
      <c r="EY8" s="159">
        <v>105</v>
      </c>
      <c r="EZ8" s="159">
        <v>105</v>
      </c>
      <c r="FA8" s="159">
        <v>104.5</v>
      </c>
      <c r="FB8" s="159">
        <v>104</v>
      </c>
      <c r="FC8" s="159">
        <v>104.9</v>
      </c>
      <c r="FD8" s="301">
        <v>104.5</v>
      </c>
      <c r="FE8" s="134">
        <v>105.6</v>
      </c>
      <c r="FF8" s="134">
        <v>104.2</v>
      </c>
      <c r="FG8" s="134">
        <v>104</v>
      </c>
      <c r="FH8" s="134">
        <v>104.4</v>
      </c>
      <c r="FI8" s="134">
        <v>104.7</v>
      </c>
      <c r="FJ8" s="134">
        <v>105.1</v>
      </c>
      <c r="FK8" s="134">
        <v>106.2</v>
      </c>
      <c r="FL8" s="134">
        <v>106.4</v>
      </c>
      <c r="FM8" s="134">
        <v>105.7</v>
      </c>
      <c r="FN8" s="134">
        <v>105.2</v>
      </c>
      <c r="FO8" s="134">
        <v>105.1</v>
      </c>
      <c r="FP8" s="301">
        <v>105.2</v>
      </c>
      <c r="FQ8" s="134">
        <v>104.8</v>
      </c>
      <c r="FR8" s="134">
        <v>104.5</v>
      </c>
      <c r="FS8" s="134">
        <v>104.3</v>
      </c>
      <c r="FT8" s="134">
        <v>105.3</v>
      </c>
      <c r="FU8" s="134">
        <v>106</v>
      </c>
      <c r="FV8" s="134">
        <v>106.5</v>
      </c>
      <c r="FW8" s="134">
        <v>105.8</v>
      </c>
      <c r="FX8" s="134">
        <v>105.7</v>
      </c>
      <c r="FY8" s="134">
        <v>105.3</v>
      </c>
      <c r="FZ8" s="134">
        <v>105.1</v>
      </c>
      <c r="GA8" s="363">
        <v>104.8</v>
      </c>
      <c r="GB8" s="301">
        <v>105.2</v>
      </c>
      <c r="GC8" s="134">
        <v>105.1</v>
      </c>
      <c r="GD8" s="363"/>
      <c r="GE8" s="3"/>
      <c r="GF8" s="3"/>
      <c r="GG8" s="3"/>
      <c r="GH8" s="3"/>
      <c r="GI8" s="132"/>
    </row>
    <row r="9" spans="1:191" ht="15" customHeight="1">
      <c r="A9" s="149" t="s">
        <v>22</v>
      </c>
      <c r="B9" s="186" t="s">
        <v>20</v>
      </c>
      <c r="C9" s="61"/>
      <c r="D9" s="25"/>
      <c r="E9" s="25"/>
      <c r="F9" s="25"/>
      <c r="G9" s="25"/>
      <c r="H9" s="25"/>
      <c r="I9" s="25"/>
      <c r="J9" s="25"/>
      <c r="K9" s="25"/>
      <c r="L9" s="25"/>
      <c r="M9" s="25"/>
      <c r="N9" s="61"/>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62"/>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58"/>
      <c r="CK9" s="58"/>
      <c r="CL9" s="25"/>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9"/>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302"/>
      <c r="FE9" s="303"/>
      <c r="FF9" s="303"/>
      <c r="FG9" s="303"/>
      <c r="FH9" s="303"/>
      <c r="FI9" s="303"/>
      <c r="FJ9" s="303"/>
      <c r="FK9" s="303"/>
      <c r="FL9" s="330"/>
      <c r="FM9" s="330"/>
      <c r="FN9" s="330"/>
      <c r="FO9" s="330"/>
      <c r="FP9" s="362"/>
      <c r="FQ9" s="330"/>
      <c r="FR9" s="330"/>
      <c r="FS9" s="330"/>
      <c r="FT9" s="330"/>
      <c r="FU9" s="330"/>
      <c r="FV9" s="330"/>
      <c r="FW9" s="330"/>
      <c r="FX9" s="330"/>
      <c r="FY9" s="330"/>
      <c r="FZ9" s="330"/>
      <c r="GA9" s="399"/>
      <c r="GB9" s="362"/>
      <c r="GC9" s="330"/>
      <c r="GD9" s="399"/>
      <c r="GE9" s="3"/>
      <c r="GF9" s="3"/>
      <c r="GG9" s="3"/>
      <c r="GH9" s="3"/>
      <c r="GI9" s="132"/>
    </row>
    <row r="10" spans="1:191" ht="15" customHeight="1">
      <c r="A10" s="6"/>
      <c r="B10" s="186" t="s">
        <v>19</v>
      </c>
      <c r="C10" s="61"/>
      <c r="D10" s="25"/>
      <c r="E10" s="25"/>
      <c r="F10" s="25"/>
      <c r="G10" s="25"/>
      <c r="H10" s="25"/>
      <c r="I10" s="25"/>
      <c r="J10" s="25"/>
      <c r="K10" s="25"/>
      <c r="L10" s="25"/>
      <c r="M10" s="25"/>
      <c r="N10" s="61"/>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62"/>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9"/>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302"/>
      <c r="FE10" s="303"/>
      <c r="FF10" s="303"/>
      <c r="FG10" s="303"/>
      <c r="FH10" s="303"/>
      <c r="FI10" s="303"/>
      <c r="FJ10" s="303"/>
      <c r="FK10" s="303"/>
      <c r="FL10" s="330"/>
      <c r="FM10" s="330"/>
      <c r="FN10" s="330"/>
      <c r="FO10" s="330"/>
      <c r="FP10" s="362"/>
      <c r="FQ10" s="330"/>
      <c r="FR10" s="330"/>
      <c r="FS10" s="330"/>
      <c r="FT10" s="330"/>
      <c r="FU10" s="330"/>
      <c r="FV10" s="330"/>
      <c r="FW10" s="330"/>
      <c r="FX10" s="330"/>
      <c r="FY10" s="330"/>
      <c r="FZ10" s="330"/>
      <c r="GA10" s="399"/>
      <c r="GB10" s="362"/>
      <c r="GC10" s="330"/>
      <c r="GD10" s="399"/>
      <c r="GE10" s="3"/>
      <c r="GF10" s="3"/>
      <c r="GG10" s="3"/>
      <c r="GH10" s="3"/>
      <c r="GI10" s="132"/>
    </row>
    <row r="11" spans="1:191" ht="15" customHeight="1">
      <c r="A11" s="6"/>
      <c r="B11" s="93" t="s">
        <v>63</v>
      </c>
      <c r="C11" s="61">
        <v>6.35</v>
      </c>
      <c r="D11" s="63">
        <v>6.35</v>
      </c>
      <c r="E11" s="63">
        <v>6.35</v>
      </c>
      <c r="F11" s="63">
        <v>6.35</v>
      </c>
      <c r="G11" s="63">
        <v>6.35</v>
      </c>
      <c r="H11" s="63">
        <v>6.35</v>
      </c>
      <c r="I11" s="63">
        <v>6.35</v>
      </c>
      <c r="J11" s="61">
        <v>6.8</v>
      </c>
      <c r="K11" s="61">
        <v>5.3</v>
      </c>
      <c r="L11" s="61">
        <v>3.6</v>
      </c>
      <c r="M11" s="61">
        <v>2.9</v>
      </c>
      <c r="N11" s="61">
        <v>1.2</v>
      </c>
      <c r="O11" s="64">
        <v>6</v>
      </c>
      <c r="P11" s="65">
        <v>5.5</v>
      </c>
      <c r="Q11" s="65">
        <v>4</v>
      </c>
      <c r="R11" s="65">
        <v>3</v>
      </c>
      <c r="S11" s="65">
        <v>3</v>
      </c>
      <c r="T11" s="65">
        <v>4.3</v>
      </c>
      <c r="U11" s="65">
        <v>7</v>
      </c>
      <c r="V11" s="65">
        <v>9.9</v>
      </c>
      <c r="W11" s="65">
        <v>10.5</v>
      </c>
      <c r="X11" s="65">
        <v>9.5</v>
      </c>
      <c r="Y11" s="65">
        <v>9.75</v>
      </c>
      <c r="Z11" s="65">
        <v>9.5</v>
      </c>
      <c r="AA11" s="65">
        <v>8.9</v>
      </c>
      <c r="AB11" s="65">
        <v>8.7</v>
      </c>
      <c r="AC11" s="65">
        <v>8.7</v>
      </c>
      <c r="AD11" s="65">
        <v>8.4</v>
      </c>
      <c r="AE11" s="65"/>
      <c r="AF11" s="65">
        <v>8.4</v>
      </c>
      <c r="AG11" s="65"/>
      <c r="AH11" s="65">
        <v>8</v>
      </c>
      <c r="AI11" s="65">
        <v>8.33</v>
      </c>
      <c r="AJ11" s="65">
        <v>9</v>
      </c>
      <c r="AK11" s="65">
        <v>9</v>
      </c>
      <c r="AL11" s="65"/>
      <c r="AM11" s="152">
        <v>15</v>
      </c>
      <c r="AN11" s="152">
        <v>21</v>
      </c>
      <c r="AO11" s="152">
        <v>21</v>
      </c>
      <c r="AP11" s="152"/>
      <c r="AQ11" s="152">
        <v>21</v>
      </c>
      <c r="AR11" s="153">
        <v>21</v>
      </c>
      <c r="AS11" s="153">
        <v>21</v>
      </c>
      <c r="AT11" s="153">
        <v>21</v>
      </c>
      <c r="AU11" s="153">
        <v>21</v>
      </c>
      <c r="AV11" s="153">
        <v>21</v>
      </c>
      <c r="AW11" s="153">
        <v>21</v>
      </c>
      <c r="AX11" s="153">
        <v>21</v>
      </c>
      <c r="AY11" s="153">
        <v>21</v>
      </c>
      <c r="AZ11" s="153"/>
      <c r="BA11" s="153">
        <v>21</v>
      </c>
      <c r="BB11" s="153">
        <v>20</v>
      </c>
      <c r="BC11" s="153">
        <v>18.5</v>
      </c>
      <c r="BD11" s="153">
        <v>18</v>
      </c>
      <c r="BE11" s="153">
        <v>18</v>
      </c>
      <c r="BF11" s="154">
        <v>16.75</v>
      </c>
      <c r="BG11" s="153">
        <v>15.8</v>
      </c>
      <c r="BH11" s="153">
        <v>16</v>
      </c>
      <c r="BI11" s="153">
        <v>16</v>
      </c>
      <c r="BJ11" s="153">
        <v>15.5</v>
      </c>
      <c r="BK11" s="153">
        <v>15.5</v>
      </c>
      <c r="BL11" s="74">
        <v>14.5</v>
      </c>
      <c r="BM11" s="74">
        <v>13.8</v>
      </c>
      <c r="BN11" s="74">
        <v>10</v>
      </c>
      <c r="BO11" s="25"/>
      <c r="BP11" s="25">
        <v>6.05</v>
      </c>
      <c r="BQ11" s="25">
        <v>5.05</v>
      </c>
      <c r="BR11" s="25">
        <v>4.8</v>
      </c>
      <c r="BS11" s="25">
        <v>6.5</v>
      </c>
      <c r="BT11" s="25"/>
      <c r="BU11" s="64">
        <v>6</v>
      </c>
      <c r="BV11" s="64">
        <v>5.5</v>
      </c>
      <c r="BW11" s="155">
        <v>5.75</v>
      </c>
      <c r="BX11" s="155"/>
      <c r="BY11" s="155"/>
      <c r="BZ11" s="155"/>
      <c r="CA11" s="155"/>
      <c r="CB11" s="155"/>
      <c r="CC11" s="155"/>
      <c r="CD11" s="155"/>
      <c r="CE11" s="155"/>
      <c r="CF11" s="155"/>
      <c r="CG11" s="155"/>
      <c r="CH11" s="155"/>
      <c r="CI11" s="155"/>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9"/>
      <c r="DU11" s="58"/>
      <c r="DV11" s="58"/>
      <c r="DW11" s="58"/>
      <c r="DX11" s="58"/>
      <c r="DY11" s="58"/>
      <c r="DZ11" s="58"/>
      <c r="EA11" s="58"/>
      <c r="EB11" s="58"/>
      <c r="EC11" s="58"/>
      <c r="ED11" s="58"/>
      <c r="EE11" s="58"/>
      <c r="EF11" s="58"/>
      <c r="EG11" s="60"/>
      <c r="EH11" s="58"/>
      <c r="EI11" s="58"/>
      <c r="EJ11" s="58"/>
      <c r="EK11" s="58"/>
      <c r="EL11" s="58"/>
      <c r="EM11" s="58"/>
      <c r="EN11" s="58"/>
      <c r="EO11" s="58"/>
      <c r="EP11" s="58"/>
      <c r="EQ11" s="58"/>
      <c r="ER11" s="58"/>
      <c r="ES11" s="58"/>
      <c r="ET11" s="58"/>
      <c r="EU11" s="58"/>
      <c r="EV11" s="58"/>
      <c r="EW11" s="58"/>
      <c r="EX11" s="58"/>
      <c r="EY11" s="58"/>
      <c r="EZ11" s="58"/>
      <c r="FA11" s="58"/>
      <c r="FB11" s="58"/>
      <c r="FC11" s="58"/>
      <c r="FD11" s="302"/>
      <c r="FE11" s="303"/>
      <c r="FF11" s="303"/>
      <c r="FG11" s="303"/>
      <c r="FH11" s="303"/>
      <c r="FI11" s="303"/>
      <c r="FJ11" s="303"/>
      <c r="FK11" s="303"/>
      <c r="FL11" s="330"/>
      <c r="FM11" s="330"/>
      <c r="FN11" s="330"/>
      <c r="FO11" s="330"/>
      <c r="FP11" s="362"/>
      <c r="FQ11" s="330"/>
      <c r="FR11" s="330"/>
      <c r="FS11" s="330"/>
      <c r="FT11" s="330"/>
      <c r="FU11" s="330"/>
      <c r="FV11" s="330"/>
      <c r="FW11" s="330"/>
      <c r="FX11" s="330"/>
      <c r="FY11" s="385"/>
      <c r="FZ11" s="385"/>
      <c r="GA11" s="398"/>
      <c r="GB11" s="419"/>
      <c r="GC11" s="385"/>
      <c r="GD11" s="398"/>
      <c r="GE11" s="3"/>
      <c r="GF11" s="3"/>
      <c r="GG11" s="3"/>
      <c r="GH11" s="3"/>
      <c r="GI11" s="132"/>
    </row>
    <row r="12" spans="1:191" ht="15" customHeight="1">
      <c r="A12" s="6"/>
      <c r="B12" s="198" t="s">
        <v>33</v>
      </c>
      <c r="C12" s="61"/>
      <c r="D12" s="25"/>
      <c r="E12" s="25"/>
      <c r="F12" s="25"/>
      <c r="G12" s="25"/>
      <c r="H12" s="25"/>
      <c r="I12" s="25"/>
      <c r="J12" s="66">
        <v>150000</v>
      </c>
      <c r="K12" s="66">
        <v>300030</v>
      </c>
      <c r="L12" s="66">
        <v>300020</v>
      </c>
      <c r="M12" s="67">
        <v>300050</v>
      </c>
      <c r="N12" s="67">
        <v>300020</v>
      </c>
      <c r="O12" s="67">
        <v>324580</v>
      </c>
      <c r="P12" s="68">
        <v>100030</v>
      </c>
      <c r="Q12" s="68">
        <v>250060</v>
      </c>
      <c r="R12" s="68">
        <v>400080</v>
      </c>
      <c r="S12" s="68">
        <v>350060</v>
      </c>
      <c r="T12" s="68">
        <v>600050</v>
      </c>
      <c r="U12" s="68">
        <v>168000</v>
      </c>
      <c r="V12" s="68">
        <v>179000</v>
      </c>
      <c r="W12" s="68">
        <v>296740</v>
      </c>
      <c r="X12" s="68">
        <v>350010</v>
      </c>
      <c r="Y12" s="68">
        <v>400030</v>
      </c>
      <c r="Z12" s="68">
        <v>400010</v>
      </c>
      <c r="AA12" s="68">
        <v>400030</v>
      </c>
      <c r="AB12" s="68">
        <v>350020</v>
      </c>
      <c r="AC12" s="68">
        <v>650060</v>
      </c>
      <c r="AD12" s="68">
        <v>650050</v>
      </c>
      <c r="AE12" s="68">
        <v>150010</v>
      </c>
      <c r="AF12" s="81">
        <v>350010</v>
      </c>
      <c r="AG12" s="81"/>
      <c r="AH12" s="81">
        <v>100020</v>
      </c>
      <c r="AI12" s="81">
        <v>300020</v>
      </c>
      <c r="AJ12" s="81">
        <v>200000</v>
      </c>
      <c r="AK12" s="81">
        <v>201000</v>
      </c>
      <c r="AL12" s="81"/>
      <c r="AM12" s="81">
        <v>50500</v>
      </c>
      <c r="AN12" s="81">
        <v>150000</v>
      </c>
      <c r="AO12" s="68">
        <v>300020</v>
      </c>
      <c r="AP12" s="68"/>
      <c r="AQ12" s="68">
        <v>300060</v>
      </c>
      <c r="AR12" s="83">
        <v>450080</v>
      </c>
      <c r="AS12" s="83">
        <v>300040</v>
      </c>
      <c r="AT12" s="83">
        <v>400030</v>
      </c>
      <c r="AU12" s="83">
        <v>400040</v>
      </c>
      <c r="AV12" s="83">
        <v>400050</v>
      </c>
      <c r="AW12" s="83">
        <v>214000</v>
      </c>
      <c r="AX12" s="83">
        <v>195000</v>
      </c>
      <c r="AY12" s="83">
        <v>110000</v>
      </c>
      <c r="AZ12" s="83">
        <v>0</v>
      </c>
      <c r="BA12" s="83">
        <v>29000</v>
      </c>
      <c r="BB12" s="83">
        <v>209010</v>
      </c>
      <c r="BC12" s="83">
        <v>300030</v>
      </c>
      <c r="BD12" s="83">
        <v>136500</v>
      </c>
      <c r="BE12" s="83">
        <v>168040</v>
      </c>
      <c r="BF12" s="83">
        <v>200020</v>
      </c>
      <c r="BG12" s="83">
        <v>180500</v>
      </c>
      <c r="BH12" s="83">
        <v>169010</v>
      </c>
      <c r="BI12" s="81">
        <v>100010</v>
      </c>
      <c r="BJ12" s="81">
        <v>200020</v>
      </c>
      <c r="BK12" s="81">
        <v>200020</v>
      </c>
      <c r="BL12" s="81">
        <v>60500</v>
      </c>
      <c r="BM12" s="81">
        <v>200000</v>
      </c>
      <c r="BN12" s="81">
        <v>200010</v>
      </c>
      <c r="BO12" s="81"/>
      <c r="BP12" s="81">
        <v>300020</v>
      </c>
      <c r="BQ12" s="81">
        <v>300000</v>
      </c>
      <c r="BR12" s="81">
        <v>300000</v>
      </c>
      <c r="BS12" s="81">
        <v>200000</v>
      </c>
      <c r="BT12" s="81"/>
      <c r="BU12" s="81">
        <v>211000</v>
      </c>
      <c r="BV12" s="81">
        <v>381520</v>
      </c>
      <c r="BW12" s="81">
        <v>376010</v>
      </c>
      <c r="BX12" s="81"/>
      <c r="BY12" s="81"/>
      <c r="BZ12" s="81"/>
      <c r="CA12" s="81"/>
      <c r="CB12" s="81"/>
      <c r="CC12" s="81"/>
      <c r="CD12" s="81"/>
      <c r="CE12" s="81"/>
      <c r="CF12" s="81"/>
      <c r="CG12" s="81"/>
      <c r="CH12" s="81"/>
      <c r="CI12" s="81"/>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9"/>
      <c r="DU12" s="58"/>
      <c r="DV12" s="58"/>
      <c r="DW12" s="58"/>
      <c r="DX12" s="58"/>
      <c r="DY12" s="58"/>
      <c r="DZ12" s="58"/>
      <c r="EA12" s="58"/>
      <c r="EB12" s="58"/>
      <c r="EC12" s="58"/>
      <c r="ED12" s="58"/>
      <c r="EE12" s="58"/>
      <c r="EF12" s="58"/>
      <c r="EG12" s="58"/>
      <c r="EH12" s="58"/>
      <c r="EI12" s="58"/>
      <c r="EJ12" s="58"/>
      <c r="EK12" s="58"/>
      <c r="EL12" s="58"/>
      <c r="EM12" s="264"/>
      <c r="EN12" s="58"/>
      <c r="EO12" s="58"/>
      <c r="EP12" s="58"/>
      <c r="EQ12" s="58"/>
      <c r="ER12" s="58"/>
      <c r="ES12" s="58"/>
      <c r="ET12" s="58"/>
      <c r="EU12" s="58"/>
      <c r="EV12" s="58"/>
      <c r="EW12" s="58"/>
      <c r="EX12" s="58"/>
      <c r="EY12" s="58"/>
      <c r="EZ12" s="58"/>
      <c r="FA12" s="58"/>
      <c r="FB12" s="58"/>
      <c r="FC12" s="58"/>
      <c r="FD12" s="302"/>
      <c r="FE12" s="303"/>
      <c r="FF12" s="303"/>
      <c r="FG12" s="303"/>
      <c r="FH12" s="303"/>
      <c r="FI12" s="303"/>
      <c r="FJ12" s="303"/>
      <c r="FK12" s="303"/>
      <c r="FL12" s="330"/>
      <c r="FM12" s="330"/>
      <c r="FN12" s="330"/>
      <c r="FO12" s="330"/>
      <c r="FP12" s="362"/>
      <c r="FQ12" s="330"/>
      <c r="FR12" s="330"/>
      <c r="FS12" s="330"/>
      <c r="FT12" s="330"/>
      <c r="FU12" s="330"/>
      <c r="FV12" s="330"/>
      <c r="FW12" s="330"/>
      <c r="FX12" s="330"/>
      <c r="FY12" s="385"/>
      <c r="FZ12" s="385"/>
      <c r="GA12" s="398"/>
      <c r="GB12" s="419"/>
      <c r="GC12" s="385"/>
      <c r="GD12" s="398"/>
      <c r="GE12" s="3"/>
      <c r="GF12" s="3"/>
      <c r="GG12" s="3"/>
      <c r="GH12" s="3"/>
      <c r="GI12" s="132"/>
    </row>
    <row r="13" spans="1:191" ht="15" customHeight="1">
      <c r="A13" s="6"/>
      <c r="B13" s="198" t="s">
        <v>64</v>
      </c>
      <c r="C13" s="61"/>
      <c r="D13" s="25"/>
      <c r="E13" s="25"/>
      <c r="F13" s="25"/>
      <c r="G13" s="25"/>
      <c r="H13" s="25"/>
      <c r="I13" s="25"/>
      <c r="J13" s="66"/>
      <c r="K13" s="66"/>
      <c r="L13" s="66"/>
      <c r="M13" s="67">
        <v>150000</v>
      </c>
      <c r="N13" s="67">
        <v>300030</v>
      </c>
      <c r="O13" s="67">
        <v>300020</v>
      </c>
      <c r="P13" s="68">
        <v>300050</v>
      </c>
      <c r="Q13" s="68">
        <v>300020</v>
      </c>
      <c r="R13" s="68">
        <v>324580</v>
      </c>
      <c r="S13" s="68">
        <v>100030</v>
      </c>
      <c r="T13" s="68">
        <v>250060</v>
      </c>
      <c r="U13" s="68">
        <v>400080</v>
      </c>
      <c r="V13" s="68">
        <v>350060</v>
      </c>
      <c r="W13" s="68">
        <v>600050</v>
      </c>
      <c r="X13" s="68">
        <v>168000</v>
      </c>
      <c r="Y13" s="68">
        <v>179000</v>
      </c>
      <c r="Z13" s="68">
        <v>296740</v>
      </c>
      <c r="AA13" s="68">
        <v>350010</v>
      </c>
      <c r="AB13" s="68">
        <v>400030</v>
      </c>
      <c r="AC13" s="68">
        <v>400010</v>
      </c>
      <c r="AD13" s="68">
        <v>700050</v>
      </c>
      <c r="AE13" s="68">
        <v>650070</v>
      </c>
      <c r="AF13" s="68">
        <v>650050</v>
      </c>
      <c r="AG13" s="68">
        <v>200000</v>
      </c>
      <c r="AH13" s="68">
        <v>150010</v>
      </c>
      <c r="AI13" s="68">
        <v>200000</v>
      </c>
      <c r="AJ13" s="68"/>
      <c r="AK13" s="68">
        <v>200030</v>
      </c>
      <c r="AL13" s="68">
        <v>200010</v>
      </c>
      <c r="AM13" s="68">
        <v>200000</v>
      </c>
      <c r="AN13" s="68">
        <v>201000</v>
      </c>
      <c r="AO13" s="68"/>
      <c r="AP13" s="68">
        <v>50500</v>
      </c>
      <c r="AQ13" s="68">
        <v>150000</v>
      </c>
      <c r="AR13" s="83">
        <v>300020</v>
      </c>
      <c r="AS13" s="83"/>
      <c r="AT13" s="83">
        <v>450080</v>
      </c>
      <c r="AU13" s="83">
        <v>300060</v>
      </c>
      <c r="AV13" s="83">
        <v>300040</v>
      </c>
      <c r="AW13" s="83">
        <v>400030</v>
      </c>
      <c r="AX13" s="83">
        <v>400040</v>
      </c>
      <c r="AY13" s="151">
        <v>400050</v>
      </c>
      <c r="AZ13" s="151">
        <v>214000</v>
      </c>
      <c r="BA13" s="151">
        <v>195000</v>
      </c>
      <c r="BB13" s="151">
        <v>110000</v>
      </c>
      <c r="BC13" s="151"/>
      <c r="BD13" s="151">
        <v>29000</v>
      </c>
      <c r="BE13" s="151">
        <v>209010</v>
      </c>
      <c r="BF13" s="151">
        <v>300030</v>
      </c>
      <c r="BG13" s="151">
        <v>136500</v>
      </c>
      <c r="BH13" s="151">
        <v>268040</v>
      </c>
      <c r="BI13" s="151">
        <v>100020</v>
      </c>
      <c r="BJ13" s="151">
        <v>180500</v>
      </c>
      <c r="BK13" s="151">
        <v>169010</v>
      </c>
      <c r="BL13" s="151">
        <v>100010</v>
      </c>
      <c r="BM13" s="151">
        <v>200020</v>
      </c>
      <c r="BN13" s="151">
        <v>200020</v>
      </c>
      <c r="BO13" s="151">
        <v>60500</v>
      </c>
      <c r="BP13" s="151">
        <v>200000</v>
      </c>
      <c r="BQ13" s="151">
        <v>200010</v>
      </c>
      <c r="BR13" s="151"/>
      <c r="BS13" s="151">
        <v>300020</v>
      </c>
      <c r="BT13" s="151">
        <v>300000</v>
      </c>
      <c r="BU13" s="151">
        <v>300000</v>
      </c>
      <c r="BV13" s="151">
        <v>200000</v>
      </c>
      <c r="BW13" s="151"/>
      <c r="BX13" s="151">
        <v>211000</v>
      </c>
      <c r="BY13" s="151">
        <v>381520</v>
      </c>
      <c r="BZ13" s="151">
        <v>376010</v>
      </c>
      <c r="CA13" s="151"/>
      <c r="CB13" s="151"/>
      <c r="CC13" s="151"/>
      <c r="CD13" s="151"/>
      <c r="CE13" s="151"/>
      <c r="CF13" s="151"/>
      <c r="CG13" s="151"/>
      <c r="CH13" s="151"/>
      <c r="CI13" s="151"/>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9"/>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302"/>
      <c r="FE13" s="303"/>
      <c r="FF13" s="303"/>
      <c r="FG13" s="303"/>
      <c r="FH13" s="303"/>
      <c r="FI13" s="303"/>
      <c r="FJ13" s="303"/>
      <c r="FK13" s="303"/>
      <c r="FL13" s="330"/>
      <c r="FM13" s="330"/>
      <c r="FN13" s="330"/>
      <c r="FO13" s="330"/>
      <c r="FP13" s="362"/>
      <c r="FQ13" s="330"/>
      <c r="FR13" s="330"/>
      <c r="FS13" s="330"/>
      <c r="FT13" s="330"/>
      <c r="FU13" s="330"/>
      <c r="FV13" s="330"/>
      <c r="FW13" s="330"/>
      <c r="FX13" s="330"/>
      <c r="FY13" s="385"/>
      <c r="FZ13" s="385"/>
      <c r="GA13" s="398"/>
      <c r="GB13" s="419"/>
      <c r="GC13" s="385"/>
      <c r="GD13" s="398"/>
      <c r="GE13" s="3"/>
      <c r="GF13" s="3"/>
      <c r="GG13" s="3"/>
      <c r="GH13" s="3"/>
      <c r="GI13" s="132"/>
    </row>
    <row r="14" spans="1:191" ht="15" customHeight="1">
      <c r="A14" s="6"/>
      <c r="B14" s="198" t="s">
        <v>65</v>
      </c>
      <c r="C14" s="61"/>
      <c r="D14" s="61"/>
      <c r="E14" s="61"/>
      <c r="F14" s="61"/>
      <c r="G14" s="63"/>
      <c r="H14" s="63"/>
      <c r="I14" s="63"/>
      <c r="J14" s="69"/>
      <c r="K14" s="69"/>
      <c r="L14" s="69"/>
      <c r="M14" s="68">
        <v>900100</v>
      </c>
      <c r="N14" s="68">
        <v>900090</v>
      </c>
      <c r="O14" s="68">
        <v>924650</v>
      </c>
      <c r="P14" s="68">
        <v>724630</v>
      </c>
      <c r="Q14" s="68">
        <v>674670</v>
      </c>
      <c r="R14" s="68">
        <v>750170</v>
      </c>
      <c r="S14" s="68">
        <v>1000200</v>
      </c>
      <c r="T14" s="68">
        <v>1350190</v>
      </c>
      <c r="U14" s="68">
        <v>1118110</v>
      </c>
      <c r="V14" s="68">
        <v>947050</v>
      </c>
      <c r="W14" s="68">
        <v>643740</v>
      </c>
      <c r="X14" s="68">
        <v>825750</v>
      </c>
      <c r="Y14" s="68">
        <v>1046780</v>
      </c>
      <c r="Z14" s="68">
        <v>1150050</v>
      </c>
      <c r="AA14" s="68">
        <v>1200070</v>
      </c>
      <c r="AB14" s="68">
        <v>1150060</v>
      </c>
      <c r="AC14" s="68">
        <v>1400110</v>
      </c>
      <c r="AD14" s="68">
        <v>1350110</v>
      </c>
      <c r="AE14" s="68">
        <v>850050</v>
      </c>
      <c r="AF14" s="68">
        <v>550010</v>
      </c>
      <c r="AG14" s="68">
        <v>350010</v>
      </c>
      <c r="AH14" s="68">
        <v>300020</v>
      </c>
      <c r="AI14" s="68">
        <v>400040</v>
      </c>
      <c r="AJ14" s="68">
        <v>600040</v>
      </c>
      <c r="AK14" s="68">
        <v>601010</v>
      </c>
      <c r="AL14" s="68">
        <v>401000</v>
      </c>
      <c r="AM14" s="68">
        <v>251500</v>
      </c>
      <c r="AN14" s="68">
        <v>200500</v>
      </c>
      <c r="AO14" s="68">
        <v>500520</v>
      </c>
      <c r="AP14" s="68">
        <v>450020</v>
      </c>
      <c r="AQ14" s="68">
        <v>600080</v>
      </c>
      <c r="AR14" s="83">
        <v>750140</v>
      </c>
      <c r="AS14" s="83">
        <v>1050180</v>
      </c>
      <c r="AT14" s="83">
        <v>1000130</v>
      </c>
      <c r="AU14" s="83">
        <v>1100110</v>
      </c>
      <c r="AV14" s="83">
        <v>1200120</v>
      </c>
      <c r="AW14" s="83">
        <v>1014090</v>
      </c>
      <c r="AX14" s="83">
        <v>809050</v>
      </c>
      <c r="AY14" s="83">
        <v>519000</v>
      </c>
      <c r="AZ14" s="83">
        <f>AY14+AZ12-AZ13</f>
        <v>305000</v>
      </c>
      <c r="BA14" s="83">
        <v>139000</v>
      </c>
      <c r="BB14" s="83">
        <v>238010</v>
      </c>
      <c r="BC14" s="83">
        <v>538040</v>
      </c>
      <c r="BD14" s="83">
        <v>645540</v>
      </c>
      <c r="BE14" s="83">
        <v>604570</v>
      </c>
      <c r="BF14" s="83">
        <v>504560</v>
      </c>
      <c r="BG14" s="83">
        <v>548560</v>
      </c>
      <c r="BH14" s="83">
        <v>449530</v>
      </c>
      <c r="BI14" s="83">
        <v>449520</v>
      </c>
      <c r="BJ14" s="83">
        <v>469040</v>
      </c>
      <c r="BK14" s="83">
        <v>500050</v>
      </c>
      <c r="BL14" s="83">
        <v>460540</v>
      </c>
      <c r="BM14" s="83">
        <v>460520</v>
      </c>
      <c r="BN14" s="83">
        <v>460510</v>
      </c>
      <c r="BO14" s="83">
        <v>400010</v>
      </c>
      <c r="BP14" s="83">
        <v>500030</v>
      </c>
      <c r="BQ14" s="83">
        <v>600020</v>
      </c>
      <c r="BR14" s="83">
        <v>900020</v>
      </c>
      <c r="BS14" s="83">
        <v>800000</v>
      </c>
      <c r="BT14" s="83">
        <v>500000</v>
      </c>
      <c r="BU14" s="83">
        <v>411000</v>
      </c>
      <c r="BV14" s="83">
        <v>592520</v>
      </c>
      <c r="BW14" s="83">
        <v>968530</v>
      </c>
      <c r="BX14" s="83">
        <v>757530</v>
      </c>
      <c r="BY14" s="83">
        <v>376010</v>
      </c>
      <c r="BZ14" s="83">
        <v>0</v>
      </c>
      <c r="CA14" s="83"/>
      <c r="CB14" s="83"/>
      <c r="CC14" s="83"/>
      <c r="CD14" s="83"/>
      <c r="CE14" s="83"/>
      <c r="CF14" s="83"/>
      <c r="CG14" s="83"/>
      <c r="CH14" s="83"/>
      <c r="CI14" s="83"/>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9"/>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302"/>
      <c r="FE14" s="303"/>
      <c r="FF14" s="303"/>
      <c r="FG14" s="303"/>
      <c r="FH14" s="303"/>
      <c r="FI14" s="303"/>
      <c r="FJ14" s="303"/>
      <c r="FK14" s="303"/>
      <c r="FL14" s="330"/>
      <c r="FM14" s="330"/>
      <c r="FN14" s="330"/>
      <c r="FO14" s="330"/>
      <c r="FP14" s="362"/>
      <c r="FQ14" s="330"/>
      <c r="FR14" s="330"/>
      <c r="FS14" s="330"/>
      <c r="FT14" s="330"/>
      <c r="FU14" s="330"/>
      <c r="FV14" s="330"/>
      <c r="FW14" s="330"/>
      <c r="FX14" s="330"/>
      <c r="FY14" s="385"/>
      <c r="FZ14" s="385"/>
      <c r="GA14" s="398"/>
      <c r="GB14" s="419"/>
      <c r="GC14" s="385"/>
      <c r="GD14" s="398"/>
      <c r="GE14" s="3"/>
      <c r="GF14" s="3"/>
      <c r="GG14" s="3"/>
      <c r="GH14" s="3"/>
      <c r="GI14" s="132"/>
    </row>
    <row r="15" spans="1:191" ht="15" customHeight="1">
      <c r="A15" s="6"/>
      <c r="B15" s="93" t="s">
        <v>116</v>
      </c>
      <c r="C15" s="61"/>
      <c r="D15" s="61"/>
      <c r="E15" s="61"/>
      <c r="F15" s="61"/>
      <c r="G15" s="63"/>
      <c r="H15" s="63"/>
      <c r="I15" s="63"/>
      <c r="J15" s="69"/>
      <c r="K15" s="69"/>
      <c r="L15" s="69"/>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153"/>
      <c r="BX15" s="153">
        <v>6.5</v>
      </c>
      <c r="BY15" s="153">
        <v>6</v>
      </c>
      <c r="BZ15" s="153"/>
      <c r="CA15" s="153"/>
      <c r="CB15" s="153"/>
      <c r="CC15" s="153"/>
      <c r="CD15" s="68">
        <v>10</v>
      </c>
      <c r="CE15" s="68">
        <v>10</v>
      </c>
      <c r="CF15" s="156">
        <v>10.5</v>
      </c>
      <c r="CG15" s="156">
        <v>10.5</v>
      </c>
      <c r="CH15" s="156">
        <v>8.5</v>
      </c>
      <c r="CI15" s="156">
        <v>9.5</v>
      </c>
      <c r="CJ15" s="156">
        <v>7.9</v>
      </c>
      <c r="CK15" s="156">
        <v>10</v>
      </c>
      <c r="CL15" s="156">
        <v>10</v>
      </c>
      <c r="CM15" s="156">
        <v>10</v>
      </c>
      <c r="CN15" s="156">
        <v>9.97</v>
      </c>
      <c r="CO15" s="156">
        <v>9.75</v>
      </c>
      <c r="CP15" s="156">
        <v>9.5</v>
      </c>
      <c r="CQ15" s="156">
        <v>9.5</v>
      </c>
      <c r="CR15" s="156">
        <v>9.4</v>
      </c>
      <c r="CS15" s="156"/>
      <c r="CT15" s="156">
        <v>9.3</v>
      </c>
      <c r="CU15" s="156">
        <v>8.2</v>
      </c>
      <c r="CV15" s="156">
        <v>7.5</v>
      </c>
      <c r="CW15" s="156">
        <v>7</v>
      </c>
      <c r="CX15" s="156">
        <v>6.4</v>
      </c>
      <c r="CY15" s="156">
        <v>5.8</v>
      </c>
      <c r="CZ15" s="156">
        <v>5</v>
      </c>
      <c r="DA15" s="156">
        <v>4.7</v>
      </c>
      <c r="DB15" s="156">
        <v>4.7</v>
      </c>
      <c r="DC15" s="156">
        <v>5</v>
      </c>
      <c r="DD15" s="156"/>
      <c r="DE15" s="156">
        <v>4.9</v>
      </c>
      <c r="DF15" s="156">
        <v>9</v>
      </c>
      <c r="DG15" s="25">
        <v>8.9</v>
      </c>
      <c r="DH15" s="25">
        <v>6.5</v>
      </c>
      <c r="DI15" s="25">
        <v>5.6</v>
      </c>
      <c r="DJ15" s="64">
        <v>5</v>
      </c>
      <c r="DK15" s="64">
        <v>4.9</v>
      </c>
      <c r="DL15" s="64">
        <v>5</v>
      </c>
      <c r="DM15" s="64">
        <v>4.9</v>
      </c>
      <c r="DN15" s="64">
        <v>7.5</v>
      </c>
      <c r="DO15" s="64">
        <v>4.9</v>
      </c>
      <c r="DP15" s="64">
        <v>4.7</v>
      </c>
      <c r="DQ15" s="64">
        <v>4.5</v>
      </c>
      <c r="DR15" s="64"/>
      <c r="DS15" s="64"/>
      <c r="DT15" s="165"/>
      <c r="DU15" s="64"/>
      <c r="DV15" s="64"/>
      <c r="DW15" s="64">
        <v>7</v>
      </c>
      <c r="DX15" s="64">
        <v>6.5</v>
      </c>
      <c r="DY15" s="64"/>
      <c r="DZ15" s="64">
        <v>8.4</v>
      </c>
      <c r="EA15" s="64">
        <v>8.5</v>
      </c>
      <c r="EB15" s="64"/>
      <c r="EC15" s="64"/>
      <c r="ED15" s="64"/>
      <c r="EE15" s="64"/>
      <c r="EF15" s="64"/>
      <c r="EG15" s="64"/>
      <c r="EH15" s="81"/>
      <c r="EI15" s="64"/>
      <c r="EJ15" s="64"/>
      <c r="EK15" s="64"/>
      <c r="EL15" s="64"/>
      <c r="EM15" s="64"/>
      <c r="EN15" s="64"/>
      <c r="EO15" s="64"/>
      <c r="EP15" s="64"/>
      <c r="EQ15" s="64"/>
      <c r="ER15" s="64"/>
      <c r="ES15" s="64"/>
      <c r="ET15" s="64"/>
      <c r="EU15" s="64"/>
      <c r="EV15" s="64"/>
      <c r="EW15" s="64"/>
      <c r="EX15" s="64"/>
      <c r="EY15" s="64"/>
      <c r="EZ15" s="64"/>
      <c r="FA15" s="64"/>
      <c r="FB15" s="64"/>
      <c r="FC15" s="64"/>
      <c r="FD15" s="304"/>
      <c r="FE15" s="114"/>
      <c r="FF15" s="114"/>
      <c r="FG15" s="114"/>
      <c r="FH15" s="114"/>
      <c r="FI15" s="114"/>
      <c r="FJ15" s="114"/>
      <c r="FK15" s="114"/>
      <c r="FL15" s="315"/>
      <c r="FM15" s="315"/>
      <c r="FN15" s="315"/>
      <c r="FO15" s="315"/>
      <c r="FP15" s="314"/>
      <c r="FQ15" s="315"/>
      <c r="FR15" s="315"/>
      <c r="FS15" s="315"/>
      <c r="FT15" s="315"/>
      <c r="FU15" s="315"/>
      <c r="FV15" s="315"/>
      <c r="FW15" s="315"/>
      <c r="FX15" s="315"/>
      <c r="FY15" s="386"/>
      <c r="FZ15" s="386"/>
      <c r="GA15" s="400"/>
      <c r="GB15" s="420"/>
      <c r="GC15" s="386"/>
      <c r="GD15" s="400"/>
      <c r="GE15" s="3"/>
      <c r="GF15" s="3"/>
      <c r="GG15" s="3"/>
      <c r="GH15" s="3"/>
      <c r="GI15" s="132"/>
    </row>
    <row r="16" spans="1:191" ht="15" customHeight="1">
      <c r="A16" s="6"/>
      <c r="B16" s="198" t="s">
        <v>33</v>
      </c>
      <c r="C16" s="61"/>
      <c r="D16" s="61"/>
      <c r="E16" s="61"/>
      <c r="F16" s="61"/>
      <c r="G16" s="63"/>
      <c r="H16" s="63"/>
      <c r="I16" s="63"/>
      <c r="J16" s="69"/>
      <c r="K16" s="69"/>
      <c r="L16" s="69"/>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v>200000</v>
      </c>
      <c r="BY16" s="83">
        <v>300500</v>
      </c>
      <c r="BZ16" s="83"/>
      <c r="CA16" s="83"/>
      <c r="CB16" s="83"/>
      <c r="CC16" s="83"/>
      <c r="CD16" s="68">
        <v>141500</v>
      </c>
      <c r="CE16" s="68">
        <v>321500</v>
      </c>
      <c r="CF16" s="68">
        <v>141000</v>
      </c>
      <c r="CG16" s="68">
        <v>110500</v>
      </c>
      <c r="CH16" s="68">
        <v>200010</v>
      </c>
      <c r="CI16" s="68">
        <v>200000</v>
      </c>
      <c r="CJ16" s="68">
        <v>150010</v>
      </c>
      <c r="CK16" s="68">
        <v>193000</v>
      </c>
      <c r="CL16" s="68">
        <v>300000</v>
      </c>
      <c r="CM16" s="68">
        <v>145000</v>
      </c>
      <c r="CN16" s="68">
        <v>306000</v>
      </c>
      <c r="CO16" s="68">
        <v>255000</v>
      </c>
      <c r="CP16" s="68">
        <v>389120</v>
      </c>
      <c r="CQ16" s="68">
        <v>156500</v>
      </c>
      <c r="CR16" s="68">
        <v>150000</v>
      </c>
      <c r="CS16" s="68"/>
      <c r="CT16" s="68">
        <v>120720</v>
      </c>
      <c r="CU16" s="68">
        <v>150000</v>
      </c>
      <c r="CV16" s="68">
        <v>100020</v>
      </c>
      <c r="CW16" s="68">
        <v>100010</v>
      </c>
      <c r="CX16" s="68">
        <v>100000</v>
      </c>
      <c r="CY16" s="68">
        <v>100010</v>
      </c>
      <c r="CZ16" s="68">
        <v>100010</v>
      </c>
      <c r="DA16" s="68">
        <v>100000</v>
      </c>
      <c r="DB16" s="68">
        <v>100000</v>
      </c>
      <c r="DC16" s="78">
        <v>100000</v>
      </c>
      <c r="DD16" s="78"/>
      <c r="DE16" s="78">
        <v>67000</v>
      </c>
      <c r="DF16" s="78">
        <v>100000</v>
      </c>
      <c r="DG16" s="78">
        <v>100000</v>
      </c>
      <c r="DH16" s="78">
        <v>80000</v>
      </c>
      <c r="DI16" s="78">
        <v>80000</v>
      </c>
      <c r="DJ16" s="78">
        <v>80010</v>
      </c>
      <c r="DK16" s="78">
        <v>50000</v>
      </c>
      <c r="DL16" s="78">
        <v>50000</v>
      </c>
      <c r="DM16" s="78">
        <v>50000</v>
      </c>
      <c r="DN16" s="78">
        <v>50000</v>
      </c>
      <c r="DO16" s="78">
        <v>50000</v>
      </c>
      <c r="DP16" s="78">
        <v>50020</v>
      </c>
      <c r="DQ16" s="150">
        <v>50010</v>
      </c>
      <c r="DR16" s="150"/>
      <c r="DS16" s="150"/>
      <c r="DT16" s="151"/>
      <c r="DU16" s="150"/>
      <c r="DV16" s="150"/>
      <c r="DW16" s="150">
        <v>343850</v>
      </c>
      <c r="DX16" s="150">
        <v>500000</v>
      </c>
      <c r="DY16" s="150"/>
      <c r="DZ16" s="150">
        <v>447000</v>
      </c>
      <c r="EA16" s="81">
        <v>305000</v>
      </c>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296"/>
      <c r="FE16" s="91"/>
      <c r="FF16" s="91"/>
      <c r="FG16" s="91"/>
      <c r="FH16" s="91"/>
      <c r="FI16" s="91"/>
      <c r="FJ16" s="91"/>
      <c r="FK16" s="91"/>
      <c r="FL16" s="95"/>
      <c r="FM16" s="95"/>
      <c r="FN16" s="95"/>
      <c r="FO16" s="95"/>
      <c r="FP16" s="310"/>
      <c r="FQ16" s="95"/>
      <c r="FR16" s="95"/>
      <c r="FS16" s="95"/>
      <c r="FT16" s="95"/>
      <c r="FU16" s="95"/>
      <c r="FV16" s="95"/>
      <c r="FW16" s="95"/>
      <c r="FX16" s="95"/>
      <c r="FY16" s="387"/>
      <c r="FZ16" s="387"/>
      <c r="GA16" s="401"/>
      <c r="GB16" s="421"/>
      <c r="GC16" s="387"/>
      <c r="GD16" s="401"/>
      <c r="GE16" s="3"/>
      <c r="GF16" s="3"/>
      <c r="GG16" s="3"/>
      <c r="GH16" s="3"/>
      <c r="GI16" s="132"/>
    </row>
    <row r="17" spans="1:191" ht="15" customHeight="1">
      <c r="A17" s="6"/>
      <c r="B17" s="198" t="s">
        <v>64</v>
      </c>
      <c r="C17" s="61"/>
      <c r="D17" s="61"/>
      <c r="E17" s="61"/>
      <c r="F17" s="61"/>
      <c r="G17" s="63"/>
      <c r="H17" s="63"/>
      <c r="I17" s="63"/>
      <c r="J17" s="69"/>
      <c r="K17" s="69"/>
      <c r="L17" s="69"/>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68">
        <v>200000</v>
      </c>
      <c r="CE17" s="68">
        <v>300500</v>
      </c>
      <c r="CF17" s="68"/>
      <c r="CG17" s="68"/>
      <c r="CH17" s="68"/>
      <c r="CI17" s="68"/>
      <c r="CJ17" s="68">
        <v>141500</v>
      </c>
      <c r="CK17" s="68">
        <v>321500</v>
      </c>
      <c r="CL17" s="68">
        <v>141000</v>
      </c>
      <c r="CM17" s="68">
        <v>110500</v>
      </c>
      <c r="CN17" s="68">
        <v>200010</v>
      </c>
      <c r="CO17" s="68">
        <v>200000</v>
      </c>
      <c r="CP17" s="68">
        <v>150010</v>
      </c>
      <c r="CQ17" s="68">
        <v>193000</v>
      </c>
      <c r="CR17" s="68">
        <v>300000</v>
      </c>
      <c r="CS17" s="68">
        <v>145000</v>
      </c>
      <c r="CT17" s="68">
        <v>306000</v>
      </c>
      <c r="CU17" s="68">
        <v>255000</v>
      </c>
      <c r="CV17" s="68">
        <v>389120</v>
      </c>
      <c r="CW17" s="68">
        <v>156500</v>
      </c>
      <c r="CX17" s="68">
        <v>150000</v>
      </c>
      <c r="CY17" s="68"/>
      <c r="CZ17" s="68">
        <v>120720</v>
      </c>
      <c r="DA17" s="68">
        <v>150000</v>
      </c>
      <c r="DB17" s="68">
        <v>100020</v>
      </c>
      <c r="DC17" s="78">
        <v>100010</v>
      </c>
      <c r="DD17" s="85">
        <v>100000</v>
      </c>
      <c r="DE17" s="85">
        <v>100010</v>
      </c>
      <c r="DF17" s="85">
        <v>100010</v>
      </c>
      <c r="DG17" s="78">
        <v>100000</v>
      </c>
      <c r="DH17" s="78">
        <v>100000</v>
      </c>
      <c r="DI17" s="78">
        <v>100000</v>
      </c>
      <c r="DJ17" s="78"/>
      <c r="DK17" s="78">
        <v>67000</v>
      </c>
      <c r="DL17" s="78">
        <v>100000</v>
      </c>
      <c r="DM17" s="78">
        <v>100000</v>
      </c>
      <c r="DN17" s="78">
        <v>80000</v>
      </c>
      <c r="DO17" s="78">
        <v>80000</v>
      </c>
      <c r="DP17" s="78">
        <v>80010</v>
      </c>
      <c r="DQ17" s="150">
        <v>50000</v>
      </c>
      <c r="DR17" s="150">
        <v>50000</v>
      </c>
      <c r="DS17" s="150">
        <v>50000</v>
      </c>
      <c r="DT17" s="79">
        <v>50000</v>
      </c>
      <c r="DU17" s="81">
        <v>50000</v>
      </c>
      <c r="DV17" s="78">
        <v>50020</v>
      </c>
      <c r="DW17" s="78">
        <v>50010</v>
      </c>
      <c r="DX17" s="78"/>
      <c r="DY17" s="78"/>
      <c r="DZ17" s="78"/>
      <c r="EA17" s="64"/>
      <c r="EB17" s="64"/>
      <c r="EC17" s="81">
        <v>343850</v>
      </c>
      <c r="ED17" s="81">
        <v>500000</v>
      </c>
      <c r="EE17" s="81"/>
      <c r="EF17" s="81">
        <v>447000</v>
      </c>
      <c r="EG17" s="79">
        <v>305000</v>
      </c>
      <c r="EH17" s="79"/>
      <c r="EI17" s="174"/>
      <c r="EJ17" s="174"/>
      <c r="EK17" s="174"/>
      <c r="EL17" s="174"/>
      <c r="EM17" s="174"/>
      <c r="EN17" s="174"/>
      <c r="EO17" s="174"/>
      <c r="EP17" s="265"/>
      <c r="EQ17" s="265"/>
      <c r="ER17" s="265"/>
      <c r="ES17" s="265"/>
      <c r="ET17" s="265"/>
      <c r="EU17" s="265"/>
      <c r="EV17" s="265"/>
      <c r="EW17" s="265"/>
      <c r="EX17" s="265"/>
      <c r="EY17" s="265"/>
      <c r="EZ17" s="265"/>
      <c r="FA17" s="265"/>
      <c r="FB17" s="265"/>
      <c r="FC17" s="265"/>
      <c r="FD17" s="305"/>
      <c r="FE17" s="306"/>
      <c r="FF17" s="306"/>
      <c r="FG17" s="306"/>
      <c r="FH17" s="306"/>
      <c r="FI17" s="306"/>
      <c r="FJ17" s="306"/>
      <c r="FK17" s="306"/>
      <c r="FL17" s="306"/>
      <c r="FM17" s="306"/>
      <c r="FN17" s="306"/>
      <c r="FO17" s="306"/>
      <c r="FP17" s="305"/>
      <c r="FQ17" s="306"/>
      <c r="FR17" s="306"/>
      <c r="FS17" s="306"/>
      <c r="FT17" s="306"/>
      <c r="FU17" s="306"/>
      <c r="FV17" s="306"/>
      <c r="FW17" s="306"/>
      <c r="FX17" s="306"/>
      <c r="FY17" s="388"/>
      <c r="FZ17" s="388"/>
      <c r="GA17" s="402"/>
      <c r="GB17" s="422"/>
      <c r="GC17" s="388"/>
      <c r="GD17" s="402"/>
      <c r="GE17" s="3"/>
      <c r="GF17" s="3"/>
      <c r="GG17" s="3"/>
      <c r="GH17" s="3"/>
      <c r="GI17" s="132"/>
    </row>
    <row r="18" spans="1:191" ht="15" customHeight="1">
      <c r="A18" s="6"/>
      <c r="B18" s="198" t="s">
        <v>65</v>
      </c>
      <c r="C18" s="61"/>
      <c r="D18" s="61"/>
      <c r="E18" s="61"/>
      <c r="F18" s="61"/>
      <c r="G18" s="63"/>
      <c r="H18" s="63"/>
      <c r="I18" s="63"/>
      <c r="J18" s="69"/>
      <c r="K18" s="69"/>
      <c r="L18" s="69"/>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v>200000</v>
      </c>
      <c r="BY18" s="83">
        <v>500500</v>
      </c>
      <c r="BZ18" s="83">
        <v>500500</v>
      </c>
      <c r="CA18" s="83">
        <v>500500</v>
      </c>
      <c r="CB18" s="83">
        <v>500500</v>
      </c>
      <c r="CC18" s="83">
        <v>500500</v>
      </c>
      <c r="CD18" s="68">
        <v>442000</v>
      </c>
      <c r="CE18" s="68">
        <v>463000</v>
      </c>
      <c r="CF18" s="68">
        <v>604000</v>
      </c>
      <c r="CG18" s="68">
        <v>714500</v>
      </c>
      <c r="CH18" s="68">
        <v>914510</v>
      </c>
      <c r="CI18" s="68">
        <v>1114510</v>
      </c>
      <c r="CJ18" s="68">
        <v>1123020</v>
      </c>
      <c r="CK18" s="68">
        <v>994520</v>
      </c>
      <c r="CL18" s="68">
        <v>1153520</v>
      </c>
      <c r="CM18" s="68">
        <v>1188020</v>
      </c>
      <c r="CN18" s="68">
        <v>1294010</v>
      </c>
      <c r="CO18" s="68">
        <v>1349010</v>
      </c>
      <c r="CP18" s="68">
        <v>1588120</v>
      </c>
      <c r="CQ18" s="68">
        <v>1551620</v>
      </c>
      <c r="CR18" s="68">
        <v>1401620</v>
      </c>
      <c r="CS18" s="68">
        <v>1256620</v>
      </c>
      <c r="CT18" s="68">
        <v>1071340</v>
      </c>
      <c r="CU18" s="68">
        <v>966340</v>
      </c>
      <c r="CV18" s="68">
        <v>677240</v>
      </c>
      <c r="CW18" s="68">
        <v>620750</v>
      </c>
      <c r="CX18" s="68">
        <v>570750</v>
      </c>
      <c r="CY18" s="68">
        <v>670760</v>
      </c>
      <c r="CZ18" s="68">
        <v>650050</v>
      </c>
      <c r="DA18" s="68">
        <v>600050</v>
      </c>
      <c r="DB18" s="68">
        <v>600030</v>
      </c>
      <c r="DC18" s="78">
        <v>600020</v>
      </c>
      <c r="DD18" s="85">
        <v>500020</v>
      </c>
      <c r="DE18" s="85">
        <v>467010</v>
      </c>
      <c r="DF18" s="85">
        <v>467000</v>
      </c>
      <c r="DG18" s="78">
        <v>467000</v>
      </c>
      <c r="DH18" s="78">
        <v>447000</v>
      </c>
      <c r="DI18" s="78">
        <v>427000</v>
      </c>
      <c r="DJ18" s="78">
        <v>507010</v>
      </c>
      <c r="DK18" s="78">
        <v>490010</v>
      </c>
      <c r="DL18" s="78">
        <v>440010</v>
      </c>
      <c r="DM18" s="78">
        <v>390010</v>
      </c>
      <c r="DN18" s="78">
        <v>360010</v>
      </c>
      <c r="DO18" s="78">
        <v>330010</v>
      </c>
      <c r="DP18" s="78">
        <v>300020</v>
      </c>
      <c r="DQ18" s="78">
        <v>300030</v>
      </c>
      <c r="DR18" s="78">
        <v>250030</v>
      </c>
      <c r="DS18" s="78">
        <v>200030</v>
      </c>
      <c r="DT18" s="85">
        <v>150030</v>
      </c>
      <c r="DU18" s="78">
        <v>100030</v>
      </c>
      <c r="DV18" s="78">
        <v>50010</v>
      </c>
      <c r="DW18" s="78">
        <v>343850</v>
      </c>
      <c r="DX18" s="78">
        <v>843850</v>
      </c>
      <c r="DY18" s="78">
        <v>843850</v>
      </c>
      <c r="DZ18" s="78">
        <v>1290850</v>
      </c>
      <c r="EA18" s="81">
        <v>1595850</v>
      </c>
      <c r="EB18" s="81">
        <v>1595850</v>
      </c>
      <c r="EC18" s="81">
        <v>1252000</v>
      </c>
      <c r="ED18" s="81">
        <v>752000</v>
      </c>
      <c r="EE18" s="81">
        <v>752000</v>
      </c>
      <c r="EF18" s="81">
        <v>305000</v>
      </c>
      <c r="EG18" s="79"/>
      <c r="EH18" s="79"/>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307"/>
      <c r="FE18" s="308"/>
      <c r="FF18" s="308"/>
      <c r="FG18" s="308"/>
      <c r="FH18" s="308"/>
      <c r="FI18" s="308"/>
      <c r="FJ18" s="308"/>
      <c r="FK18" s="308"/>
      <c r="FL18" s="308"/>
      <c r="FM18" s="308"/>
      <c r="FN18" s="308"/>
      <c r="FO18" s="308"/>
      <c r="FP18" s="307"/>
      <c r="FQ18" s="308"/>
      <c r="FR18" s="308"/>
      <c r="FS18" s="308"/>
      <c r="FT18" s="308"/>
      <c r="FU18" s="308"/>
      <c r="FV18" s="308"/>
      <c r="FW18" s="308"/>
      <c r="FX18" s="308"/>
      <c r="FY18" s="389"/>
      <c r="FZ18" s="389"/>
      <c r="GA18" s="403"/>
      <c r="GB18" s="423"/>
      <c r="GC18" s="389"/>
      <c r="GD18" s="403"/>
      <c r="GE18" s="3"/>
      <c r="GF18" s="3"/>
      <c r="GG18" s="3"/>
      <c r="GH18" s="3"/>
      <c r="GI18" s="132"/>
    </row>
    <row r="19" spans="1:191" ht="15" customHeight="1">
      <c r="A19" s="6"/>
      <c r="B19" s="93" t="s">
        <v>117</v>
      </c>
      <c r="C19" s="61"/>
      <c r="D19" s="61"/>
      <c r="E19" s="61"/>
      <c r="F19" s="61"/>
      <c r="G19" s="63"/>
      <c r="H19" s="63"/>
      <c r="I19" s="63"/>
      <c r="J19" s="69"/>
      <c r="K19" s="69"/>
      <c r="L19" s="69"/>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v>2</v>
      </c>
      <c r="BT19" s="83">
        <v>2</v>
      </c>
      <c r="BU19" s="83"/>
      <c r="BV19" s="83"/>
      <c r="BW19" s="83"/>
      <c r="BX19" s="83">
        <v>7</v>
      </c>
      <c r="BY19" s="83"/>
      <c r="BZ19" s="153">
        <v>3.3</v>
      </c>
      <c r="CA19" s="83">
        <v>6</v>
      </c>
      <c r="CB19" s="154">
        <v>5.6</v>
      </c>
      <c r="CC19" s="154">
        <v>7.25</v>
      </c>
      <c r="CD19" s="154"/>
      <c r="CE19" s="154"/>
      <c r="CF19" s="154"/>
      <c r="CG19" s="154"/>
      <c r="CH19" s="154"/>
      <c r="CI19" s="68"/>
      <c r="CJ19" s="58"/>
      <c r="CK19" s="58"/>
      <c r="CL19" s="58"/>
      <c r="CM19" s="58"/>
      <c r="CN19" s="58"/>
      <c r="CO19" s="58"/>
      <c r="CP19" s="58"/>
      <c r="CQ19" s="58"/>
      <c r="CR19" s="58"/>
      <c r="CS19" s="58"/>
      <c r="CT19" s="58"/>
      <c r="CU19" s="58"/>
      <c r="CV19" s="58"/>
      <c r="CW19" s="58"/>
      <c r="CX19" s="58"/>
      <c r="CY19" s="58"/>
      <c r="CZ19" s="58"/>
      <c r="DA19" s="58"/>
      <c r="DB19" s="58"/>
      <c r="DC19" s="58"/>
      <c r="DD19" s="85"/>
      <c r="DE19" s="85"/>
      <c r="DF19" s="85"/>
      <c r="DG19" s="78"/>
      <c r="DH19" s="78"/>
      <c r="DI19" s="261">
        <v>2</v>
      </c>
      <c r="DJ19" s="78"/>
      <c r="DK19" s="78"/>
      <c r="DL19" s="78"/>
      <c r="DM19" s="261">
        <v>4</v>
      </c>
      <c r="DN19" s="261">
        <v>4</v>
      </c>
      <c r="DO19" s="261"/>
      <c r="DP19" s="261"/>
      <c r="DQ19" s="261"/>
      <c r="DR19" s="261"/>
      <c r="DS19" s="261"/>
      <c r="DT19" s="262"/>
      <c r="DU19" s="261">
        <v>4</v>
      </c>
      <c r="DV19" s="261"/>
      <c r="DW19" s="261"/>
      <c r="DX19" s="261">
        <v>8.9</v>
      </c>
      <c r="DY19" s="266">
        <v>7.5</v>
      </c>
      <c r="DZ19" s="266"/>
      <c r="EA19" s="64">
        <v>8</v>
      </c>
      <c r="EB19" s="64"/>
      <c r="EC19" s="64"/>
      <c r="ED19" s="64"/>
      <c r="EE19" s="64">
        <v>4</v>
      </c>
      <c r="EF19" s="158">
        <v>2</v>
      </c>
      <c r="EG19" s="165">
        <v>2</v>
      </c>
      <c r="EH19" s="159">
        <v>2</v>
      </c>
      <c r="EI19" s="174"/>
      <c r="EJ19" s="174"/>
      <c r="EK19" s="174"/>
      <c r="EL19" s="174"/>
      <c r="EM19" s="162">
        <v>3.1</v>
      </c>
      <c r="EN19" s="162">
        <v>2</v>
      </c>
      <c r="EO19" s="162"/>
      <c r="EP19" s="162">
        <v>5.8</v>
      </c>
      <c r="EQ19" s="162">
        <v>3.33</v>
      </c>
      <c r="ER19" s="162">
        <v>7.5</v>
      </c>
      <c r="ES19" s="155">
        <v>5.75</v>
      </c>
      <c r="ET19" s="155">
        <v>5.75</v>
      </c>
      <c r="EU19" s="155">
        <v>4</v>
      </c>
      <c r="EV19" s="155">
        <v>4</v>
      </c>
      <c r="EW19" s="155">
        <v>4.75</v>
      </c>
      <c r="EX19" s="155">
        <v>4</v>
      </c>
      <c r="EY19" s="155">
        <v>5</v>
      </c>
      <c r="EZ19" s="155">
        <v>5</v>
      </c>
      <c r="FA19" s="155">
        <v>6.63</v>
      </c>
      <c r="FB19" s="155">
        <v>5</v>
      </c>
      <c r="FC19" s="155">
        <v>5.9</v>
      </c>
      <c r="FD19" s="309"/>
      <c r="FE19" s="115">
        <v>5</v>
      </c>
      <c r="FF19" s="115">
        <v>5</v>
      </c>
      <c r="FG19" s="115">
        <v>4.9</v>
      </c>
      <c r="FH19" s="115">
        <v>4</v>
      </c>
      <c r="FI19" s="115">
        <v>4.5</v>
      </c>
      <c r="FJ19" s="115">
        <v>5</v>
      </c>
      <c r="FK19" s="115">
        <v>4</v>
      </c>
      <c r="FL19" s="94">
        <v>4</v>
      </c>
      <c r="FM19" s="94">
        <v>4</v>
      </c>
      <c r="FN19" s="94">
        <v>4</v>
      </c>
      <c r="FO19" s="94">
        <v>4</v>
      </c>
      <c r="FP19" s="318"/>
      <c r="FQ19" s="94"/>
      <c r="FR19" s="94"/>
      <c r="FS19" s="94"/>
      <c r="FT19" s="376" t="s">
        <v>150</v>
      </c>
      <c r="FU19" s="376" t="s">
        <v>151</v>
      </c>
      <c r="FV19" s="376"/>
      <c r="FW19" s="376">
        <v>2.9</v>
      </c>
      <c r="FX19" s="376"/>
      <c r="FY19" s="376">
        <v>2.4</v>
      </c>
      <c r="FZ19" s="376"/>
      <c r="GA19" s="404">
        <v>2</v>
      </c>
      <c r="GB19" s="424"/>
      <c r="GC19" s="392"/>
      <c r="GD19" s="404"/>
      <c r="GE19" s="3"/>
      <c r="GF19" s="3"/>
      <c r="GG19" s="3"/>
      <c r="GH19" s="3"/>
      <c r="GI19" s="132"/>
    </row>
    <row r="20" spans="1:191" ht="15" customHeight="1">
      <c r="A20" s="6"/>
      <c r="B20" s="198" t="s">
        <v>33</v>
      </c>
      <c r="C20" s="61"/>
      <c r="D20" s="61"/>
      <c r="E20" s="61"/>
      <c r="F20" s="61"/>
      <c r="G20" s="63"/>
      <c r="H20" s="63"/>
      <c r="I20" s="63"/>
      <c r="J20" s="69"/>
      <c r="K20" s="69"/>
      <c r="L20" s="69"/>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v>2808000</v>
      </c>
      <c r="BT20" s="83">
        <v>702000</v>
      </c>
      <c r="BU20" s="83"/>
      <c r="BV20" s="83"/>
      <c r="BW20" s="83"/>
      <c r="BX20" s="83">
        <v>161000</v>
      </c>
      <c r="BY20" s="83"/>
      <c r="BZ20" s="83">
        <v>3125000</v>
      </c>
      <c r="CA20" s="83">
        <v>283510</v>
      </c>
      <c r="CB20" s="83">
        <v>21000</v>
      </c>
      <c r="CC20" s="83">
        <v>170000</v>
      </c>
      <c r="CD20" s="83"/>
      <c r="CE20" s="83"/>
      <c r="CF20" s="83"/>
      <c r="CG20" s="83"/>
      <c r="CH20" s="83"/>
      <c r="CI20" s="68"/>
      <c r="CJ20" s="58"/>
      <c r="CK20" s="58"/>
      <c r="CL20" s="58"/>
      <c r="CM20" s="58"/>
      <c r="CN20" s="58"/>
      <c r="CO20" s="58"/>
      <c r="CP20" s="58"/>
      <c r="CQ20" s="58"/>
      <c r="CR20" s="58"/>
      <c r="CS20" s="58"/>
      <c r="CT20" s="58"/>
      <c r="CU20" s="58"/>
      <c r="CV20" s="58"/>
      <c r="CW20" s="58"/>
      <c r="CX20" s="58"/>
      <c r="CY20" s="58"/>
      <c r="CZ20" s="58"/>
      <c r="DA20" s="58"/>
      <c r="DB20" s="58"/>
      <c r="DC20" s="58"/>
      <c r="DD20" s="85"/>
      <c r="DE20" s="85"/>
      <c r="DF20" s="85"/>
      <c r="DG20" s="78"/>
      <c r="DH20" s="78"/>
      <c r="DI20" s="78">
        <v>1000000</v>
      </c>
      <c r="DJ20" s="78"/>
      <c r="DK20" s="78"/>
      <c r="DL20" s="78"/>
      <c r="DM20" s="78">
        <v>100000</v>
      </c>
      <c r="DN20" s="78">
        <v>200000</v>
      </c>
      <c r="DO20" s="78"/>
      <c r="DP20" s="78"/>
      <c r="DQ20" s="78"/>
      <c r="DR20" s="78"/>
      <c r="DS20" s="78"/>
      <c r="DT20" s="85"/>
      <c r="DU20" s="78">
        <v>537000</v>
      </c>
      <c r="DV20" s="78"/>
      <c r="DW20" s="78"/>
      <c r="DX20" s="78">
        <v>475500</v>
      </c>
      <c r="DY20" s="78">
        <v>500000</v>
      </c>
      <c r="DZ20" s="78"/>
      <c r="EA20" s="81">
        <v>500000</v>
      </c>
      <c r="EB20" s="81"/>
      <c r="EC20" s="81"/>
      <c r="ED20" s="81"/>
      <c r="EE20" s="81">
        <v>3000000</v>
      </c>
      <c r="EF20" s="79">
        <v>6957392</v>
      </c>
      <c r="EG20" s="79">
        <v>1000000</v>
      </c>
      <c r="EH20" s="79">
        <f>2331087+1094305</f>
        <v>3425392</v>
      </c>
      <c r="EI20" s="174"/>
      <c r="EJ20" s="174"/>
      <c r="EK20" s="174"/>
      <c r="EL20" s="174"/>
      <c r="EM20" s="79">
        <v>1865320</v>
      </c>
      <c r="EN20" s="79">
        <v>12000</v>
      </c>
      <c r="EO20" s="79"/>
      <c r="EP20" s="79">
        <v>771200</v>
      </c>
      <c r="EQ20" s="79">
        <v>443400</v>
      </c>
      <c r="ER20" s="79">
        <v>2000000</v>
      </c>
      <c r="ES20" s="78">
        <v>2400010</v>
      </c>
      <c r="ET20" s="78">
        <v>1400010</v>
      </c>
      <c r="EU20" s="78">
        <v>400010</v>
      </c>
      <c r="EV20" s="81">
        <v>100500</v>
      </c>
      <c r="EW20" s="81">
        <v>2800000</v>
      </c>
      <c r="EX20" s="81">
        <v>420020</v>
      </c>
      <c r="EY20" s="81">
        <v>400000</v>
      </c>
      <c r="EZ20" s="81">
        <v>80000</v>
      </c>
      <c r="FA20" s="81">
        <v>1531500</v>
      </c>
      <c r="FB20" s="81">
        <v>240500</v>
      </c>
      <c r="FC20" s="81">
        <v>2185500</v>
      </c>
      <c r="FD20" s="296"/>
      <c r="FE20" s="91">
        <v>100000</v>
      </c>
      <c r="FF20" s="91">
        <v>200000</v>
      </c>
      <c r="FG20" s="91">
        <v>200000</v>
      </c>
      <c r="FH20" s="91">
        <v>200010</v>
      </c>
      <c r="FI20" s="91">
        <v>120430</v>
      </c>
      <c r="FJ20" s="91">
        <v>26000</v>
      </c>
      <c r="FK20" s="91">
        <v>200000</v>
      </c>
      <c r="FL20" s="95">
        <v>200020</v>
      </c>
      <c r="FM20" s="95">
        <v>400020</v>
      </c>
      <c r="FN20" s="95">
        <v>400010</v>
      </c>
      <c r="FO20" s="95">
        <v>400030</v>
      </c>
      <c r="FP20" s="310"/>
      <c r="FQ20" s="95"/>
      <c r="FR20" s="95"/>
      <c r="FS20" s="95"/>
      <c r="FT20" s="95">
        <v>100010</v>
      </c>
      <c r="FU20" s="378">
        <v>100010</v>
      </c>
      <c r="FV20" s="378"/>
      <c r="FW20" s="378">
        <v>150020</v>
      </c>
      <c r="FX20" s="378"/>
      <c r="FY20" s="378">
        <v>100000</v>
      </c>
      <c r="FZ20" s="378"/>
      <c r="GA20" s="405">
        <v>100010</v>
      </c>
      <c r="GB20" s="425"/>
      <c r="GC20" s="378"/>
      <c r="GD20" s="405"/>
      <c r="GE20" s="3"/>
      <c r="GF20" s="3"/>
      <c r="GG20" s="3"/>
      <c r="GH20" s="3"/>
      <c r="GI20" s="132"/>
    </row>
    <row r="21" spans="1:191" ht="15" customHeight="1">
      <c r="A21" s="6"/>
      <c r="B21" s="198" t="s">
        <v>64</v>
      </c>
      <c r="C21" s="61"/>
      <c r="D21" s="61"/>
      <c r="E21" s="61"/>
      <c r="F21" s="61"/>
      <c r="G21" s="63"/>
      <c r="H21" s="63"/>
      <c r="I21" s="63"/>
      <c r="J21" s="69"/>
      <c r="K21" s="69"/>
      <c r="L21" s="69"/>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68">
        <v>3159733</v>
      </c>
      <c r="CJ21" s="68">
        <v>161000</v>
      </c>
      <c r="CK21" s="68"/>
      <c r="CL21" s="68">
        <v>200000</v>
      </c>
      <c r="CM21" s="68">
        <v>633777</v>
      </c>
      <c r="CN21" s="68">
        <v>81000</v>
      </c>
      <c r="CO21" s="68">
        <v>110000</v>
      </c>
      <c r="CP21" s="68"/>
      <c r="CQ21" s="68"/>
      <c r="CR21" s="68"/>
      <c r="CS21" s="68"/>
      <c r="CT21" s="68"/>
      <c r="CU21" s="68"/>
      <c r="CV21" s="68"/>
      <c r="CW21" s="68"/>
      <c r="CX21" s="68"/>
      <c r="CY21" s="68"/>
      <c r="CZ21" s="68"/>
      <c r="DA21" s="68"/>
      <c r="DB21" s="68"/>
      <c r="DC21" s="68"/>
      <c r="DD21" s="85"/>
      <c r="DE21" s="85"/>
      <c r="DF21" s="85"/>
      <c r="DG21" s="78"/>
      <c r="DH21" s="78"/>
      <c r="DI21" s="78">
        <v>2925000</v>
      </c>
      <c r="DJ21" s="78"/>
      <c r="DK21" s="78"/>
      <c r="DL21" s="78"/>
      <c r="DM21" s="78"/>
      <c r="DN21" s="78"/>
      <c r="DO21" s="78"/>
      <c r="DP21" s="78"/>
      <c r="DQ21" s="78"/>
      <c r="DR21" s="78"/>
      <c r="DS21" s="78"/>
      <c r="DT21" s="85"/>
      <c r="DU21" s="78"/>
      <c r="DV21" s="78"/>
      <c r="DW21" s="78"/>
      <c r="DX21" s="78"/>
      <c r="DY21" s="78"/>
      <c r="DZ21" s="78"/>
      <c r="EA21" s="64"/>
      <c r="EB21" s="64"/>
      <c r="EC21" s="64"/>
      <c r="ED21" s="64"/>
      <c r="EE21" s="64"/>
      <c r="EF21" s="81"/>
      <c r="EG21" s="79"/>
      <c r="EH21" s="79"/>
      <c r="EI21" s="174"/>
      <c r="EJ21" s="79">
        <v>475500</v>
      </c>
      <c r="EK21" s="79">
        <v>500000</v>
      </c>
      <c r="EL21" s="79"/>
      <c r="EM21" s="79">
        <v>500000</v>
      </c>
      <c r="EN21" s="79"/>
      <c r="EO21" s="79"/>
      <c r="EP21" s="79"/>
      <c r="EQ21" s="79"/>
      <c r="ER21" s="79"/>
      <c r="ES21" s="79"/>
      <c r="ET21" s="79"/>
      <c r="EU21" s="79"/>
      <c r="EV21" s="79"/>
      <c r="EW21" s="79"/>
      <c r="EX21" s="79"/>
      <c r="EY21" s="79"/>
      <c r="EZ21" s="79"/>
      <c r="FA21" s="79">
        <v>247000</v>
      </c>
      <c r="FB21" s="79">
        <v>52500</v>
      </c>
      <c r="FC21" s="79">
        <v>206700</v>
      </c>
      <c r="FD21" s="310">
        <v>13900</v>
      </c>
      <c r="FE21" s="95">
        <v>429510</v>
      </c>
      <c r="FF21" s="95">
        <v>400010</v>
      </c>
      <c r="FG21" s="95">
        <v>400010</v>
      </c>
      <c r="FH21" s="95">
        <v>100500</v>
      </c>
      <c r="FI21" s="95"/>
      <c r="FJ21" s="95">
        <v>620020</v>
      </c>
      <c r="FK21" s="95">
        <v>414000</v>
      </c>
      <c r="FL21" s="95">
        <v>80000</v>
      </c>
      <c r="FM21" s="95">
        <v>31500</v>
      </c>
      <c r="FN21" s="95">
        <v>240500</v>
      </c>
      <c r="FO21" s="95">
        <v>185500</v>
      </c>
      <c r="FP21" s="310"/>
      <c r="FQ21" s="95">
        <v>100000</v>
      </c>
      <c r="FR21" s="95">
        <v>200000</v>
      </c>
      <c r="FS21" s="95">
        <v>200000</v>
      </c>
      <c r="FT21" s="95">
        <v>200010</v>
      </c>
      <c r="FU21" s="95">
        <v>120430</v>
      </c>
      <c r="FV21" s="95">
        <v>126000</v>
      </c>
      <c r="FW21" s="95">
        <v>573900</v>
      </c>
      <c r="FX21" s="95">
        <v>1301107</v>
      </c>
      <c r="FY21" s="95">
        <v>500020</v>
      </c>
      <c r="FZ21" s="95">
        <v>400010</v>
      </c>
      <c r="GA21" s="311">
        <v>710030</v>
      </c>
      <c r="GB21" s="310">
        <v>350000</v>
      </c>
      <c r="GC21" s="95"/>
      <c r="GD21" s="311"/>
      <c r="GE21" s="3"/>
      <c r="GF21" s="3"/>
      <c r="GG21" s="3"/>
      <c r="GH21" s="3"/>
      <c r="GI21" s="132"/>
    </row>
    <row r="22" spans="1:191" ht="15" customHeight="1">
      <c r="A22" s="6"/>
      <c r="B22" s="198" t="s">
        <v>65</v>
      </c>
      <c r="C22" s="61"/>
      <c r="D22" s="61"/>
      <c r="E22" s="61"/>
      <c r="F22" s="61"/>
      <c r="G22" s="63"/>
      <c r="H22" s="63"/>
      <c r="I22" s="63"/>
      <c r="J22" s="69"/>
      <c r="K22" s="69"/>
      <c r="L22" s="69"/>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v>2808000</v>
      </c>
      <c r="BT22" s="83">
        <v>3510000</v>
      </c>
      <c r="BU22" s="83">
        <v>3510000</v>
      </c>
      <c r="BV22" s="83">
        <v>3510000</v>
      </c>
      <c r="BW22" s="68">
        <v>3510000</v>
      </c>
      <c r="BX22" s="83">
        <v>3671000</v>
      </c>
      <c r="BY22" s="83">
        <v>3671000</v>
      </c>
      <c r="BZ22" s="83">
        <v>6796000</v>
      </c>
      <c r="CA22" s="83">
        <v>7079510</v>
      </c>
      <c r="CB22" s="83">
        <v>7100510</v>
      </c>
      <c r="CC22" s="83">
        <v>7270510</v>
      </c>
      <c r="CD22" s="83">
        <v>7270510</v>
      </c>
      <c r="CE22" s="83">
        <v>7270510</v>
      </c>
      <c r="CF22" s="83">
        <v>7270510</v>
      </c>
      <c r="CG22" s="83">
        <v>7270510</v>
      </c>
      <c r="CH22" s="83">
        <v>7270510</v>
      </c>
      <c r="CI22" s="68">
        <v>4110777</v>
      </c>
      <c r="CJ22" s="68">
        <v>3949777</v>
      </c>
      <c r="CK22" s="68">
        <v>3949777</v>
      </c>
      <c r="CL22" s="68">
        <v>3749777</v>
      </c>
      <c r="CM22" s="68">
        <v>3116000</v>
      </c>
      <c r="CN22" s="68">
        <v>3035000</v>
      </c>
      <c r="CO22" s="68">
        <v>2925000</v>
      </c>
      <c r="CP22" s="68">
        <v>2925000</v>
      </c>
      <c r="CQ22" s="68">
        <v>2925000</v>
      </c>
      <c r="CR22" s="68">
        <v>2925000</v>
      </c>
      <c r="CS22" s="68">
        <v>2925000</v>
      </c>
      <c r="CT22" s="68">
        <v>2925000</v>
      </c>
      <c r="CU22" s="68">
        <v>2925000</v>
      </c>
      <c r="CV22" s="68">
        <v>2925000</v>
      </c>
      <c r="CW22" s="68">
        <v>2925000</v>
      </c>
      <c r="CX22" s="68">
        <v>2925000</v>
      </c>
      <c r="CY22" s="68">
        <v>2925000</v>
      </c>
      <c r="CZ22" s="68">
        <v>2925000</v>
      </c>
      <c r="DA22" s="68">
        <v>2925000</v>
      </c>
      <c r="DB22" s="68">
        <v>2925000</v>
      </c>
      <c r="DC22" s="68">
        <v>2925000</v>
      </c>
      <c r="DD22" s="85">
        <v>2925000</v>
      </c>
      <c r="DE22" s="85">
        <v>2925000</v>
      </c>
      <c r="DF22" s="85">
        <v>2925000</v>
      </c>
      <c r="DG22" s="78">
        <v>2925000</v>
      </c>
      <c r="DH22" s="78">
        <v>2925000</v>
      </c>
      <c r="DI22" s="83">
        <v>1000000</v>
      </c>
      <c r="DJ22" s="83">
        <v>1000000</v>
      </c>
      <c r="DK22" s="83">
        <v>1000000</v>
      </c>
      <c r="DL22" s="83">
        <v>1000000</v>
      </c>
      <c r="DM22" s="83">
        <v>1100000</v>
      </c>
      <c r="DN22" s="83">
        <v>1300000</v>
      </c>
      <c r="DO22" s="83">
        <v>1300000</v>
      </c>
      <c r="DP22" s="83">
        <v>1300000</v>
      </c>
      <c r="DQ22" s="83">
        <v>1300000</v>
      </c>
      <c r="DR22" s="83">
        <v>1300000</v>
      </c>
      <c r="DS22" s="83">
        <v>1300000</v>
      </c>
      <c r="DT22" s="83">
        <v>1300000</v>
      </c>
      <c r="DU22" s="83">
        <v>1837000</v>
      </c>
      <c r="DV22" s="83">
        <v>1837000</v>
      </c>
      <c r="DW22" s="83">
        <v>1837000</v>
      </c>
      <c r="DX22" s="83">
        <v>2312500</v>
      </c>
      <c r="DY22" s="83">
        <v>2812500</v>
      </c>
      <c r="DZ22" s="83">
        <v>2812500</v>
      </c>
      <c r="EA22" s="83">
        <v>3312500</v>
      </c>
      <c r="EB22" s="83">
        <v>3312500</v>
      </c>
      <c r="EC22" s="83">
        <v>3312500</v>
      </c>
      <c r="ED22" s="83">
        <v>3312500</v>
      </c>
      <c r="EE22" s="83">
        <v>6312500</v>
      </c>
      <c r="EF22" s="79">
        <v>13269892</v>
      </c>
      <c r="EG22" s="79">
        <v>14269892</v>
      </c>
      <c r="EH22" s="79">
        <v>17695284</v>
      </c>
      <c r="EI22" s="79">
        <v>17695284</v>
      </c>
      <c r="EJ22" s="79">
        <v>17219784</v>
      </c>
      <c r="EK22" s="79">
        <v>16719784</v>
      </c>
      <c r="EL22" s="79">
        <v>16719784</v>
      </c>
      <c r="EM22" s="79">
        <v>18085104</v>
      </c>
      <c r="EN22" s="79">
        <v>18097104</v>
      </c>
      <c r="EO22" s="79">
        <v>18097104</v>
      </c>
      <c r="EP22" s="79">
        <v>18868304</v>
      </c>
      <c r="EQ22" s="79">
        <v>19311704</v>
      </c>
      <c r="ER22" s="79">
        <v>21311704</v>
      </c>
      <c r="ES22" s="78">
        <v>23711714</v>
      </c>
      <c r="ET22" s="78">
        <v>25111724</v>
      </c>
      <c r="EU22" s="78">
        <v>25511734</v>
      </c>
      <c r="EV22" s="78">
        <v>25612234</v>
      </c>
      <c r="EW22" s="78">
        <v>28412234</v>
      </c>
      <c r="EX22" s="78">
        <v>28832254</v>
      </c>
      <c r="EY22" s="78">
        <v>29232254</v>
      </c>
      <c r="EZ22" s="78">
        <v>29312254</v>
      </c>
      <c r="FA22" s="78">
        <v>30596754</v>
      </c>
      <c r="FB22" s="78">
        <v>30784754</v>
      </c>
      <c r="FC22" s="78">
        <v>32763554</v>
      </c>
      <c r="FD22" s="312">
        <v>32749654</v>
      </c>
      <c r="FE22" s="90">
        <v>32420144</v>
      </c>
      <c r="FF22" s="90">
        <v>32220134</v>
      </c>
      <c r="FG22" s="90">
        <v>32020124</v>
      </c>
      <c r="FH22" s="90">
        <v>32119634</v>
      </c>
      <c r="FI22" s="90">
        <f>FH22+FI20</f>
        <v>32240064</v>
      </c>
      <c r="FJ22" s="90">
        <v>31646044</v>
      </c>
      <c r="FK22" s="90">
        <v>31432044</v>
      </c>
      <c r="FL22" s="110">
        <v>31552064</v>
      </c>
      <c r="FM22" s="110">
        <v>31920584</v>
      </c>
      <c r="FN22" s="110">
        <v>32080094</v>
      </c>
      <c r="FO22" s="320">
        <v>32294624</v>
      </c>
      <c r="FP22" s="118">
        <v>32294624</v>
      </c>
      <c r="FQ22" s="110">
        <v>32194624</v>
      </c>
      <c r="FR22" s="110">
        <v>31994624</v>
      </c>
      <c r="FS22" s="110">
        <v>31794624</v>
      </c>
      <c r="FT22" s="110">
        <v>31694624</v>
      </c>
      <c r="FU22" s="110">
        <v>31674204</v>
      </c>
      <c r="FV22" s="110">
        <v>31548204</v>
      </c>
      <c r="FW22" s="110">
        <v>31124324</v>
      </c>
      <c r="FX22" s="110">
        <v>29823217</v>
      </c>
      <c r="FY22" s="110">
        <v>29423197</v>
      </c>
      <c r="FZ22" s="110">
        <v>29023187</v>
      </c>
      <c r="GA22" s="320">
        <v>28413167</v>
      </c>
      <c r="GB22" s="118">
        <v>28063167</v>
      </c>
      <c r="GC22" s="110">
        <v>28063167</v>
      </c>
      <c r="GD22" s="320">
        <v>28063167</v>
      </c>
      <c r="GE22" s="3"/>
      <c r="GF22" s="3"/>
      <c r="GG22" s="3"/>
      <c r="GH22" s="3"/>
      <c r="GI22" s="132"/>
    </row>
    <row r="23" spans="1:191" ht="15" customHeight="1">
      <c r="A23" s="6"/>
      <c r="B23" s="186" t="s">
        <v>37</v>
      </c>
      <c r="C23" s="61"/>
      <c r="D23" s="61"/>
      <c r="E23" s="61"/>
      <c r="F23" s="63"/>
      <c r="G23" s="63"/>
      <c r="H23" s="63"/>
      <c r="I23" s="63"/>
      <c r="J23" s="63"/>
      <c r="K23" s="63"/>
      <c r="L23" s="63"/>
      <c r="M23" s="63"/>
      <c r="N23" s="61"/>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81" t="s">
        <v>60</v>
      </c>
      <c r="AS23" s="81"/>
      <c r="AT23" s="81"/>
      <c r="AU23" s="81"/>
      <c r="AV23" s="81"/>
      <c r="AW23" s="79"/>
      <c r="AX23" s="81"/>
      <c r="AY23" s="81"/>
      <c r="AZ23" s="81"/>
      <c r="BA23" s="81"/>
      <c r="BB23" s="81"/>
      <c r="BC23" s="81"/>
      <c r="BD23" s="81"/>
      <c r="BE23" s="81"/>
      <c r="BF23" s="81"/>
      <c r="BG23" s="81"/>
      <c r="BH23" s="81"/>
      <c r="BI23" s="81"/>
      <c r="BJ23" s="81"/>
      <c r="BK23" s="81"/>
      <c r="BL23" s="81"/>
      <c r="BM23" s="81"/>
      <c r="BN23" s="81"/>
      <c r="BO23" s="81"/>
      <c r="BP23" s="81"/>
      <c r="BQ23" s="158"/>
      <c r="BR23" s="81"/>
      <c r="BS23" s="81"/>
      <c r="BT23" s="81"/>
      <c r="BU23" s="81"/>
      <c r="BV23" s="81"/>
      <c r="BW23" s="81"/>
      <c r="BX23" s="81"/>
      <c r="BY23" s="81"/>
      <c r="BZ23" s="158"/>
      <c r="CA23" s="81"/>
      <c r="CB23" s="81"/>
      <c r="CC23" s="81"/>
      <c r="CD23" s="81"/>
      <c r="CE23" s="81"/>
      <c r="CF23" s="81"/>
      <c r="CG23" s="81"/>
      <c r="CH23" s="81"/>
      <c r="CI23" s="81"/>
      <c r="CJ23" s="68"/>
      <c r="CK23" s="68"/>
      <c r="CL23" s="68"/>
      <c r="CM23" s="68"/>
      <c r="CN23" s="68"/>
      <c r="CO23" s="68"/>
      <c r="CP23" s="68"/>
      <c r="CQ23" s="68"/>
      <c r="CR23" s="68"/>
      <c r="CS23" s="68"/>
      <c r="CT23" s="68"/>
      <c r="CU23" s="68"/>
      <c r="CV23" s="68"/>
      <c r="CW23" s="68"/>
      <c r="CX23" s="68"/>
      <c r="CY23" s="68"/>
      <c r="CZ23" s="68"/>
      <c r="DA23" s="68"/>
      <c r="DB23" s="68"/>
      <c r="DC23" s="68"/>
      <c r="DD23" s="25"/>
      <c r="DE23" s="25"/>
      <c r="DF23" s="25"/>
      <c r="DG23" s="77"/>
      <c r="DH23" s="77"/>
      <c r="DI23" s="77"/>
      <c r="DJ23" s="77"/>
      <c r="DK23" s="77"/>
      <c r="DL23" s="77"/>
      <c r="DM23" s="77"/>
      <c r="DN23" s="77"/>
      <c r="DO23" s="77"/>
      <c r="DP23" s="77"/>
      <c r="DQ23" s="77"/>
      <c r="DR23" s="77"/>
      <c r="DS23" s="77"/>
      <c r="DT23" s="267"/>
      <c r="DU23" s="77"/>
      <c r="DV23" s="77"/>
      <c r="DW23" s="77"/>
      <c r="DX23" s="77"/>
      <c r="DY23" s="77"/>
      <c r="DZ23" s="77"/>
      <c r="EA23" s="77"/>
      <c r="EB23" s="77"/>
      <c r="EC23" s="77"/>
      <c r="ED23" s="77"/>
      <c r="EE23" s="77"/>
      <c r="EF23" s="77"/>
      <c r="EG23" s="77"/>
      <c r="EH23" s="79"/>
      <c r="EI23" s="79"/>
      <c r="EJ23" s="79"/>
      <c r="EK23" s="79"/>
      <c r="EL23" s="79"/>
      <c r="EM23" s="79"/>
      <c r="EN23" s="79"/>
      <c r="EO23" s="79"/>
      <c r="EP23" s="79"/>
      <c r="EQ23" s="79"/>
      <c r="ER23" s="79"/>
      <c r="ES23" s="79"/>
      <c r="ET23" s="79"/>
      <c r="EU23" s="79"/>
      <c r="EV23" s="79"/>
      <c r="EW23" s="25"/>
      <c r="EX23" s="25"/>
      <c r="EY23" s="25"/>
      <c r="EZ23" s="25"/>
      <c r="FA23" s="25"/>
      <c r="FB23" s="25"/>
      <c r="FC23" s="25"/>
      <c r="FD23" s="117"/>
      <c r="FL23" s="49"/>
      <c r="FM23" s="49"/>
      <c r="FN23" s="49"/>
      <c r="FO23" s="49"/>
      <c r="FP23" s="93"/>
      <c r="FQ23" s="49"/>
      <c r="FR23" s="49"/>
      <c r="FS23" s="49"/>
      <c r="FT23" s="49"/>
      <c r="FU23" s="376"/>
      <c r="FV23" s="376"/>
      <c r="FW23" s="376"/>
      <c r="FX23" s="376"/>
      <c r="FY23" s="390"/>
      <c r="FZ23" s="390"/>
      <c r="GA23" s="406"/>
      <c r="GB23" s="426"/>
      <c r="GC23" s="390"/>
      <c r="GD23" s="406"/>
      <c r="GE23" s="3"/>
      <c r="GF23" s="3"/>
      <c r="GG23" s="3"/>
      <c r="GH23" s="3"/>
      <c r="GI23" s="132"/>
    </row>
    <row r="24" spans="1:191" ht="15" customHeight="1">
      <c r="A24" s="6"/>
      <c r="B24" s="93" t="s">
        <v>32</v>
      </c>
      <c r="C24" s="25"/>
      <c r="D24" s="25"/>
      <c r="E24" s="25"/>
      <c r="F24" s="25"/>
      <c r="G24" s="25"/>
      <c r="H24" s="25"/>
      <c r="I24" s="25"/>
      <c r="J24" s="25"/>
      <c r="K24" s="70">
        <v>6</v>
      </c>
      <c r="L24" s="70">
        <v>6</v>
      </c>
      <c r="M24" s="70">
        <v>6</v>
      </c>
      <c r="N24" s="70">
        <v>6</v>
      </c>
      <c r="O24" s="70">
        <v>6</v>
      </c>
      <c r="P24" s="70">
        <v>6</v>
      </c>
      <c r="Q24" s="70">
        <v>6</v>
      </c>
      <c r="R24" s="70">
        <v>6</v>
      </c>
      <c r="S24" s="70">
        <v>6</v>
      </c>
      <c r="T24" s="70">
        <v>6</v>
      </c>
      <c r="U24" s="70">
        <v>6</v>
      </c>
      <c r="V24" s="70">
        <v>6</v>
      </c>
      <c r="W24" s="70">
        <v>6</v>
      </c>
      <c r="X24" s="70">
        <v>7</v>
      </c>
      <c r="Y24" s="70">
        <v>7</v>
      </c>
      <c r="Z24" s="70">
        <v>7</v>
      </c>
      <c r="AA24" s="70">
        <v>7</v>
      </c>
      <c r="AB24" s="70">
        <v>7</v>
      </c>
      <c r="AC24" s="70">
        <v>7</v>
      </c>
      <c r="AD24" s="70">
        <v>7</v>
      </c>
      <c r="AE24" s="70">
        <v>8</v>
      </c>
      <c r="AF24" s="70">
        <v>8</v>
      </c>
      <c r="AG24" s="70">
        <v>8</v>
      </c>
      <c r="AH24" s="25">
        <v>12</v>
      </c>
      <c r="AI24" s="25">
        <v>12</v>
      </c>
      <c r="AJ24" s="25">
        <v>12</v>
      </c>
      <c r="AK24" s="25">
        <v>12</v>
      </c>
      <c r="AL24" s="25">
        <v>16</v>
      </c>
      <c r="AM24" s="25">
        <v>16</v>
      </c>
      <c r="AN24" s="25">
        <v>20</v>
      </c>
      <c r="AO24" s="25">
        <v>20</v>
      </c>
      <c r="AP24" s="25">
        <v>20</v>
      </c>
      <c r="AQ24" s="25">
        <v>20</v>
      </c>
      <c r="AR24" s="81">
        <v>20</v>
      </c>
      <c r="AS24" s="81">
        <v>20</v>
      </c>
      <c r="AT24" s="81">
        <v>20</v>
      </c>
      <c r="AU24" s="81">
        <v>20</v>
      </c>
      <c r="AV24" s="81">
        <v>20</v>
      </c>
      <c r="AW24" s="79">
        <v>20</v>
      </c>
      <c r="AX24" s="81">
        <v>20</v>
      </c>
      <c r="AY24" s="81">
        <v>20</v>
      </c>
      <c r="AZ24" s="81">
        <v>20</v>
      </c>
      <c r="BA24" s="150">
        <v>19</v>
      </c>
      <c r="BB24" s="150">
        <v>17</v>
      </c>
      <c r="BC24" s="150">
        <v>17</v>
      </c>
      <c r="BD24" s="25">
        <v>17</v>
      </c>
      <c r="BE24" s="25">
        <v>17</v>
      </c>
      <c r="BF24" s="25">
        <v>16</v>
      </c>
      <c r="BG24" s="25">
        <v>16</v>
      </c>
      <c r="BH24" s="25">
        <v>16</v>
      </c>
      <c r="BI24" s="25">
        <v>16</v>
      </c>
      <c r="BJ24" s="25">
        <v>15</v>
      </c>
      <c r="BK24" s="25">
        <v>15</v>
      </c>
      <c r="BL24" s="25">
        <v>14</v>
      </c>
      <c r="BM24" s="25">
        <v>14</v>
      </c>
      <c r="BN24" s="71">
        <v>11</v>
      </c>
      <c r="BO24" s="71">
        <v>9</v>
      </c>
      <c r="BP24" s="71">
        <v>9</v>
      </c>
      <c r="BQ24" s="71">
        <v>7</v>
      </c>
      <c r="BR24" s="71">
        <v>7</v>
      </c>
      <c r="BS24" s="71">
        <v>7</v>
      </c>
      <c r="BT24" s="71">
        <v>7</v>
      </c>
      <c r="BU24" s="71">
        <v>7</v>
      </c>
      <c r="BV24" s="71">
        <v>7</v>
      </c>
      <c r="BW24" s="71">
        <v>7</v>
      </c>
      <c r="BX24" s="71">
        <v>7</v>
      </c>
      <c r="BY24" s="71">
        <v>7</v>
      </c>
      <c r="BZ24" s="71">
        <v>7</v>
      </c>
      <c r="CA24" s="25">
        <v>6</v>
      </c>
      <c r="CB24" s="25">
        <v>6</v>
      </c>
      <c r="CC24" s="25">
        <v>6</v>
      </c>
      <c r="CD24" s="25">
        <v>6</v>
      </c>
      <c r="CE24" s="25">
        <v>6</v>
      </c>
      <c r="CF24" s="25">
        <v>6</v>
      </c>
      <c r="CG24" s="25">
        <v>6</v>
      </c>
      <c r="CH24" s="25">
        <v>6</v>
      </c>
      <c r="CI24" s="25">
        <v>6</v>
      </c>
      <c r="CJ24" s="25">
        <v>6</v>
      </c>
      <c r="CK24" s="25">
        <v>6</v>
      </c>
      <c r="CL24" s="25">
        <v>6</v>
      </c>
      <c r="CM24" s="25">
        <v>6</v>
      </c>
      <c r="CN24" s="25">
        <v>6</v>
      </c>
      <c r="CO24" s="25">
        <v>6</v>
      </c>
      <c r="CP24" s="25">
        <v>6</v>
      </c>
      <c r="CQ24" s="25">
        <v>6</v>
      </c>
      <c r="CR24" s="25">
        <v>6</v>
      </c>
      <c r="CS24" s="25">
        <v>6</v>
      </c>
      <c r="CT24" s="25">
        <v>6</v>
      </c>
      <c r="CU24" s="25">
        <v>6</v>
      </c>
      <c r="CV24" s="25">
        <v>6</v>
      </c>
      <c r="CW24" s="25">
        <v>6</v>
      </c>
      <c r="CX24" s="25">
        <v>6</v>
      </c>
      <c r="CY24" s="25">
        <v>6</v>
      </c>
      <c r="CZ24" s="25">
        <v>6</v>
      </c>
      <c r="DA24" s="25">
        <v>6</v>
      </c>
      <c r="DB24" s="25">
        <v>6</v>
      </c>
      <c r="DC24" s="25">
        <v>6</v>
      </c>
      <c r="DD24" s="85">
        <v>6</v>
      </c>
      <c r="DE24" s="85">
        <v>6</v>
      </c>
      <c r="DF24" s="85">
        <v>6</v>
      </c>
      <c r="DG24" s="77">
        <v>6</v>
      </c>
      <c r="DH24" s="77">
        <v>6</v>
      </c>
      <c r="DI24" s="77">
        <v>6</v>
      </c>
      <c r="DJ24" s="77">
        <v>6</v>
      </c>
      <c r="DK24" s="77">
        <v>6</v>
      </c>
      <c r="DL24" s="77">
        <v>6</v>
      </c>
      <c r="DM24" s="77">
        <v>6</v>
      </c>
      <c r="DN24" s="77">
        <v>6</v>
      </c>
      <c r="DO24" s="77">
        <v>6</v>
      </c>
      <c r="DP24" s="77">
        <v>6</v>
      </c>
      <c r="DQ24" s="77">
        <v>6</v>
      </c>
      <c r="DR24" s="77">
        <v>6</v>
      </c>
      <c r="DS24" s="77">
        <v>6</v>
      </c>
      <c r="DT24" s="267">
        <v>6</v>
      </c>
      <c r="DU24" s="77">
        <v>6</v>
      </c>
      <c r="DV24" s="77">
        <v>6</v>
      </c>
      <c r="DW24" s="77">
        <v>6</v>
      </c>
      <c r="DX24" s="77">
        <v>6</v>
      </c>
      <c r="DY24" s="77">
        <v>6</v>
      </c>
      <c r="DZ24" s="77">
        <v>6</v>
      </c>
      <c r="EA24" s="77">
        <v>6</v>
      </c>
      <c r="EB24" s="25">
        <v>6</v>
      </c>
      <c r="EC24" s="25">
        <v>6</v>
      </c>
      <c r="ED24" s="25">
        <v>6</v>
      </c>
      <c r="EE24" s="25">
        <v>6</v>
      </c>
      <c r="EF24" s="25">
        <v>6</v>
      </c>
      <c r="EG24" s="25">
        <v>6</v>
      </c>
      <c r="EH24" s="79">
        <v>6</v>
      </c>
      <c r="EI24" s="79">
        <v>6</v>
      </c>
      <c r="EJ24" s="79">
        <v>6</v>
      </c>
      <c r="EK24" s="79">
        <v>6</v>
      </c>
      <c r="EL24" s="79">
        <v>6</v>
      </c>
      <c r="EM24" s="79">
        <v>6</v>
      </c>
      <c r="EN24" s="79">
        <v>6</v>
      </c>
      <c r="EO24" s="79">
        <v>6</v>
      </c>
      <c r="EP24" s="79">
        <v>6</v>
      </c>
      <c r="EQ24" s="79">
        <v>6</v>
      </c>
      <c r="ER24" s="79">
        <v>6</v>
      </c>
      <c r="ES24" s="25">
        <v>6</v>
      </c>
      <c r="ET24" s="25">
        <v>4</v>
      </c>
      <c r="EU24" s="25">
        <v>4</v>
      </c>
      <c r="EV24" s="25">
        <v>4</v>
      </c>
      <c r="EW24" s="25">
        <v>4</v>
      </c>
      <c r="EX24" s="25">
        <v>4</v>
      </c>
      <c r="EY24" s="25">
        <v>4</v>
      </c>
      <c r="EZ24" s="25">
        <v>4</v>
      </c>
      <c r="FA24" s="25">
        <v>4</v>
      </c>
      <c r="FB24" s="25">
        <v>4</v>
      </c>
      <c r="FC24" s="25">
        <v>4</v>
      </c>
      <c r="FD24" s="117">
        <v>4</v>
      </c>
      <c r="FE24" s="3">
        <v>4</v>
      </c>
      <c r="FF24" s="3">
        <v>4</v>
      </c>
      <c r="FG24" s="3">
        <v>4</v>
      </c>
      <c r="FH24" s="3">
        <v>4</v>
      </c>
      <c r="FI24" s="3">
        <v>4</v>
      </c>
      <c r="FJ24" s="3">
        <v>4</v>
      </c>
      <c r="FK24" s="3">
        <v>4</v>
      </c>
      <c r="FL24" s="3">
        <v>4</v>
      </c>
      <c r="FM24" s="3">
        <v>4</v>
      </c>
      <c r="FN24" s="3">
        <v>4</v>
      </c>
      <c r="FO24" s="3">
        <v>4</v>
      </c>
      <c r="FP24" s="117">
        <v>4</v>
      </c>
      <c r="FQ24" s="3">
        <v>4</v>
      </c>
      <c r="FR24" s="3">
        <v>4</v>
      </c>
      <c r="FS24" s="3">
        <v>4</v>
      </c>
      <c r="FT24" s="3">
        <v>4</v>
      </c>
      <c r="FU24" s="3">
        <v>4</v>
      </c>
      <c r="FV24" s="3">
        <v>4</v>
      </c>
      <c r="FW24" s="3">
        <v>4</v>
      </c>
      <c r="FX24" s="3">
        <v>4</v>
      </c>
      <c r="FY24" s="3">
        <v>4</v>
      </c>
      <c r="FZ24" s="3">
        <v>4</v>
      </c>
      <c r="GA24" s="132">
        <v>4</v>
      </c>
      <c r="GB24" s="117">
        <v>4</v>
      </c>
      <c r="GC24" s="3">
        <v>4</v>
      </c>
      <c r="GD24" s="132">
        <v>4</v>
      </c>
      <c r="GE24" s="3">
        <v>4</v>
      </c>
      <c r="GF24" s="3">
        <v>4</v>
      </c>
      <c r="GG24" s="3">
        <v>4</v>
      </c>
      <c r="GH24" s="3">
        <v>4</v>
      </c>
      <c r="GI24" s="132">
        <v>4</v>
      </c>
    </row>
    <row r="25" spans="1:191" ht="15" customHeight="1">
      <c r="A25" s="6"/>
      <c r="B25" s="93" t="s">
        <v>34</v>
      </c>
      <c r="C25" s="25"/>
      <c r="D25" s="25"/>
      <c r="E25" s="25"/>
      <c r="F25" s="25"/>
      <c r="G25" s="25"/>
      <c r="H25" s="25"/>
      <c r="I25" s="25"/>
      <c r="J25" s="25"/>
      <c r="K25" s="70">
        <v>8</v>
      </c>
      <c r="L25" s="70">
        <v>8</v>
      </c>
      <c r="M25" s="70">
        <v>8</v>
      </c>
      <c r="N25" s="70">
        <v>8</v>
      </c>
      <c r="O25" s="70">
        <v>8</v>
      </c>
      <c r="P25" s="70">
        <v>8</v>
      </c>
      <c r="Q25" s="70">
        <v>8</v>
      </c>
      <c r="R25" s="70">
        <v>8</v>
      </c>
      <c r="S25" s="70">
        <v>8</v>
      </c>
      <c r="T25" s="70">
        <v>8</v>
      </c>
      <c r="U25" s="70">
        <v>8</v>
      </c>
      <c r="V25" s="70">
        <v>8</v>
      </c>
      <c r="W25" s="70">
        <v>8</v>
      </c>
      <c r="X25" s="70">
        <v>9</v>
      </c>
      <c r="Y25" s="70">
        <v>9</v>
      </c>
      <c r="Z25" s="70">
        <v>9</v>
      </c>
      <c r="AA25" s="70">
        <v>9</v>
      </c>
      <c r="AB25" s="70">
        <v>9</v>
      </c>
      <c r="AC25" s="70">
        <v>9</v>
      </c>
      <c r="AD25" s="70">
        <v>9</v>
      </c>
      <c r="AE25" s="70">
        <v>10</v>
      </c>
      <c r="AF25" s="70">
        <v>10</v>
      </c>
      <c r="AG25" s="70">
        <v>10</v>
      </c>
      <c r="AH25" s="25">
        <v>14</v>
      </c>
      <c r="AI25" s="25">
        <v>14</v>
      </c>
      <c r="AJ25" s="25">
        <v>14</v>
      </c>
      <c r="AK25" s="25">
        <v>14</v>
      </c>
      <c r="AL25" s="25">
        <v>18</v>
      </c>
      <c r="AM25" s="25">
        <v>18</v>
      </c>
      <c r="AN25" s="25">
        <v>22</v>
      </c>
      <c r="AO25" s="25">
        <v>22</v>
      </c>
      <c r="AP25" s="25">
        <v>22</v>
      </c>
      <c r="AQ25" s="25">
        <v>22</v>
      </c>
      <c r="AR25" s="81">
        <v>22</v>
      </c>
      <c r="AS25" s="81">
        <v>22</v>
      </c>
      <c r="AT25" s="81">
        <v>22</v>
      </c>
      <c r="AU25" s="81">
        <v>22</v>
      </c>
      <c r="AV25" s="81">
        <v>22</v>
      </c>
      <c r="AW25" s="79">
        <v>22</v>
      </c>
      <c r="AX25" s="81">
        <v>22</v>
      </c>
      <c r="AY25" s="81">
        <v>22</v>
      </c>
      <c r="AZ25" s="81">
        <v>22</v>
      </c>
      <c r="BA25" s="150">
        <v>21</v>
      </c>
      <c r="BB25" s="150">
        <v>19</v>
      </c>
      <c r="BC25" s="150">
        <v>19</v>
      </c>
      <c r="BD25" s="25">
        <v>19</v>
      </c>
      <c r="BE25" s="25">
        <v>19</v>
      </c>
      <c r="BF25" s="25">
        <v>18</v>
      </c>
      <c r="BG25" s="25">
        <v>18</v>
      </c>
      <c r="BH25" s="25">
        <v>18</v>
      </c>
      <c r="BI25" s="25">
        <v>18</v>
      </c>
      <c r="BJ25" s="25">
        <v>17</v>
      </c>
      <c r="BK25" s="25">
        <v>17</v>
      </c>
      <c r="BL25" s="25">
        <v>16</v>
      </c>
      <c r="BM25" s="25">
        <v>16</v>
      </c>
      <c r="BN25" s="71">
        <v>13</v>
      </c>
      <c r="BO25" s="71">
        <v>11</v>
      </c>
      <c r="BP25" s="71">
        <v>11</v>
      </c>
      <c r="BQ25" s="71">
        <v>9</v>
      </c>
      <c r="BR25" s="71">
        <v>9</v>
      </c>
      <c r="BS25" s="71">
        <v>9</v>
      </c>
      <c r="BT25" s="71">
        <v>9</v>
      </c>
      <c r="BU25" s="71">
        <v>9</v>
      </c>
      <c r="BV25" s="71">
        <v>9</v>
      </c>
      <c r="BW25" s="71">
        <v>9</v>
      </c>
      <c r="BX25" s="71">
        <v>9</v>
      </c>
      <c r="BY25" s="71">
        <v>9</v>
      </c>
      <c r="BZ25" s="71">
        <v>9</v>
      </c>
      <c r="CA25" s="25">
        <v>8</v>
      </c>
      <c r="CB25" s="25">
        <v>8</v>
      </c>
      <c r="CC25" s="25">
        <v>8</v>
      </c>
      <c r="CD25" s="25">
        <v>8</v>
      </c>
      <c r="CE25" s="25">
        <v>8</v>
      </c>
      <c r="CF25" s="25">
        <v>8</v>
      </c>
      <c r="CG25" s="25">
        <v>8</v>
      </c>
      <c r="CH25" s="25">
        <v>8</v>
      </c>
      <c r="CI25" s="25">
        <v>8</v>
      </c>
      <c r="CJ25" s="25">
        <v>8</v>
      </c>
      <c r="CK25" s="25">
        <v>8</v>
      </c>
      <c r="CL25" s="25">
        <v>8</v>
      </c>
      <c r="CM25" s="25">
        <v>8</v>
      </c>
      <c r="CN25" s="25">
        <v>8</v>
      </c>
      <c r="CO25" s="25">
        <v>8</v>
      </c>
      <c r="CP25" s="25">
        <v>8</v>
      </c>
      <c r="CQ25" s="25">
        <v>8</v>
      </c>
      <c r="CR25" s="25">
        <v>8</v>
      </c>
      <c r="CS25" s="25">
        <v>8</v>
      </c>
      <c r="CT25" s="25">
        <v>8</v>
      </c>
      <c r="CU25" s="25">
        <v>8</v>
      </c>
      <c r="CV25" s="25">
        <v>8</v>
      </c>
      <c r="CW25" s="25">
        <v>8</v>
      </c>
      <c r="CX25" s="25">
        <v>8</v>
      </c>
      <c r="CY25" s="25">
        <v>8</v>
      </c>
      <c r="CZ25" s="25">
        <v>8</v>
      </c>
      <c r="DA25" s="25">
        <v>8</v>
      </c>
      <c r="DB25" s="25">
        <v>8</v>
      </c>
      <c r="DC25" s="25">
        <v>8</v>
      </c>
      <c r="DD25" s="85">
        <v>8</v>
      </c>
      <c r="DE25" s="85">
        <v>8</v>
      </c>
      <c r="DF25" s="85">
        <v>8</v>
      </c>
      <c r="DG25" s="77">
        <v>8</v>
      </c>
      <c r="DH25" s="77">
        <v>8</v>
      </c>
      <c r="DI25" s="77">
        <v>8</v>
      </c>
      <c r="DJ25" s="77">
        <v>8</v>
      </c>
      <c r="DK25" s="77">
        <v>8</v>
      </c>
      <c r="DL25" s="77">
        <v>8</v>
      </c>
      <c r="DM25" s="77">
        <v>8</v>
      </c>
      <c r="DN25" s="77">
        <v>8</v>
      </c>
      <c r="DO25" s="77">
        <v>8</v>
      </c>
      <c r="DP25" s="77">
        <v>8</v>
      </c>
      <c r="DQ25" s="77">
        <v>8</v>
      </c>
      <c r="DR25" s="77">
        <v>8</v>
      </c>
      <c r="DS25" s="77">
        <v>8</v>
      </c>
      <c r="DT25" s="267">
        <v>8</v>
      </c>
      <c r="DU25" s="77">
        <v>8</v>
      </c>
      <c r="DV25" s="77">
        <v>8</v>
      </c>
      <c r="DW25" s="77">
        <v>8</v>
      </c>
      <c r="DX25" s="77">
        <v>8</v>
      </c>
      <c r="DY25" s="77">
        <v>8</v>
      </c>
      <c r="DZ25" s="77">
        <v>8</v>
      </c>
      <c r="EA25" s="77">
        <v>8</v>
      </c>
      <c r="EB25" s="25">
        <v>8</v>
      </c>
      <c r="EC25" s="25">
        <v>8</v>
      </c>
      <c r="ED25" s="25">
        <v>8</v>
      </c>
      <c r="EE25" s="25">
        <v>8</v>
      </c>
      <c r="EF25" s="25">
        <v>8</v>
      </c>
      <c r="EG25" s="25">
        <v>8</v>
      </c>
      <c r="EH25" s="79">
        <v>8</v>
      </c>
      <c r="EI25" s="79">
        <v>8</v>
      </c>
      <c r="EJ25" s="79">
        <v>8</v>
      </c>
      <c r="EK25" s="79">
        <v>8</v>
      </c>
      <c r="EL25" s="79">
        <v>8</v>
      </c>
      <c r="EM25" s="79">
        <v>8</v>
      </c>
      <c r="EN25" s="79">
        <v>8</v>
      </c>
      <c r="EO25" s="79">
        <v>8</v>
      </c>
      <c r="EP25" s="79">
        <v>8</v>
      </c>
      <c r="EQ25" s="79">
        <v>8</v>
      </c>
      <c r="ER25" s="79">
        <v>8</v>
      </c>
      <c r="ES25" s="25">
        <v>8</v>
      </c>
      <c r="ET25" s="25">
        <v>6</v>
      </c>
      <c r="EU25" s="25">
        <v>6</v>
      </c>
      <c r="EV25" s="25">
        <v>6</v>
      </c>
      <c r="EW25" s="25">
        <v>6</v>
      </c>
      <c r="EX25" s="25">
        <v>6</v>
      </c>
      <c r="EY25" s="25">
        <v>6</v>
      </c>
      <c r="EZ25" s="25">
        <v>6</v>
      </c>
      <c r="FA25" s="25">
        <v>6</v>
      </c>
      <c r="FB25" s="25">
        <v>6</v>
      </c>
      <c r="FC25" s="25">
        <v>6</v>
      </c>
      <c r="FD25" s="117">
        <v>6</v>
      </c>
      <c r="FE25" s="3">
        <v>6</v>
      </c>
      <c r="FF25" s="3">
        <v>6</v>
      </c>
      <c r="FG25" s="3">
        <v>6</v>
      </c>
      <c r="FH25" s="3">
        <v>6</v>
      </c>
      <c r="FI25" s="3">
        <v>6</v>
      </c>
      <c r="FJ25" s="3">
        <v>6</v>
      </c>
      <c r="FK25" s="3">
        <v>6</v>
      </c>
      <c r="FL25" s="3">
        <v>6</v>
      </c>
      <c r="FM25" s="3">
        <v>6</v>
      </c>
      <c r="FN25" s="3">
        <v>6</v>
      </c>
      <c r="FO25" s="3">
        <v>6</v>
      </c>
      <c r="FP25" s="117">
        <v>6</v>
      </c>
      <c r="FQ25" s="3">
        <v>6</v>
      </c>
      <c r="FR25" s="3">
        <v>6</v>
      </c>
      <c r="FS25" s="3">
        <v>6</v>
      </c>
      <c r="FT25" s="3">
        <v>6</v>
      </c>
      <c r="FU25" s="3">
        <v>6</v>
      </c>
      <c r="FV25" s="3">
        <v>6</v>
      </c>
      <c r="FW25" s="3">
        <v>6</v>
      </c>
      <c r="FX25" s="3">
        <v>6</v>
      </c>
      <c r="FY25" s="3">
        <v>6</v>
      </c>
      <c r="FZ25" s="3">
        <v>6</v>
      </c>
      <c r="GA25" s="132">
        <v>6</v>
      </c>
      <c r="GB25" s="117">
        <v>6</v>
      </c>
      <c r="GC25" s="3">
        <v>6</v>
      </c>
      <c r="GD25" s="132">
        <v>6</v>
      </c>
      <c r="GE25" s="3">
        <v>6</v>
      </c>
      <c r="GF25" s="3">
        <v>6</v>
      </c>
      <c r="GG25" s="3">
        <v>6</v>
      </c>
      <c r="GH25" s="3">
        <v>6</v>
      </c>
      <c r="GI25" s="132">
        <v>6</v>
      </c>
    </row>
    <row r="26" spans="1:191" ht="15" customHeight="1">
      <c r="A26" s="6"/>
      <c r="B26" s="93" t="s">
        <v>35</v>
      </c>
      <c r="C26" s="25"/>
      <c r="D26" s="25"/>
      <c r="E26" s="25"/>
      <c r="F26" s="25"/>
      <c r="G26" s="25"/>
      <c r="H26" s="25"/>
      <c r="I26" s="25"/>
      <c r="J26" s="25"/>
      <c r="K26" s="70">
        <v>9</v>
      </c>
      <c r="L26" s="70">
        <v>9</v>
      </c>
      <c r="M26" s="70">
        <v>9</v>
      </c>
      <c r="N26" s="70">
        <v>9</v>
      </c>
      <c r="O26" s="71">
        <v>9</v>
      </c>
      <c r="P26" s="71">
        <v>9</v>
      </c>
      <c r="Q26" s="71">
        <v>9</v>
      </c>
      <c r="R26" s="71">
        <v>9</v>
      </c>
      <c r="S26" s="71">
        <v>9</v>
      </c>
      <c r="T26" s="71">
        <v>9</v>
      </c>
      <c r="U26" s="71">
        <v>9</v>
      </c>
      <c r="V26" s="71">
        <v>9</v>
      </c>
      <c r="W26" s="71">
        <v>9</v>
      </c>
      <c r="X26" s="71">
        <v>10</v>
      </c>
      <c r="Y26" s="71">
        <v>10</v>
      </c>
      <c r="Z26" s="71">
        <v>10</v>
      </c>
      <c r="AA26" s="71">
        <v>10</v>
      </c>
      <c r="AB26" s="71">
        <v>10</v>
      </c>
      <c r="AC26" s="71">
        <v>10</v>
      </c>
      <c r="AD26" s="71">
        <v>10</v>
      </c>
      <c r="AE26" s="71">
        <v>11</v>
      </c>
      <c r="AF26" s="71">
        <v>11</v>
      </c>
      <c r="AG26" s="71">
        <v>11</v>
      </c>
      <c r="AH26" s="25">
        <v>15</v>
      </c>
      <c r="AI26" s="25">
        <v>15</v>
      </c>
      <c r="AJ26" s="25">
        <v>15</v>
      </c>
      <c r="AK26" s="25">
        <v>15</v>
      </c>
      <c r="AL26" s="25">
        <v>19</v>
      </c>
      <c r="AM26" s="25">
        <v>19</v>
      </c>
      <c r="AN26" s="25">
        <v>23</v>
      </c>
      <c r="AO26" s="25">
        <v>23</v>
      </c>
      <c r="AP26" s="25">
        <v>23</v>
      </c>
      <c r="AQ26" s="25">
        <v>23</v>
      </c>
      <c r="AR26" s="81">
        <v>23</v>
      </c>
      <c r="AS26" s="81">
        <v>23</v>
      </c>
      <c r="AT26" s="81">
        <v>23</v>
      </c>
      <c r="AU26" s="81">
        <v>23</v>
      </c>
      <c r="AV26" s="81">
        <v>23</v>
      </c>
      <c r="AW26" s="79">
        <v>23</v>
      </c>
      <c r="AX26" s="81">
        <v>23</v>
      </c>
      <c r="AY26" s="81">
        <v>23</v>
      </c>
      <c r="AZ26" s="81">
        <v>23</v>
      </c>
      <c r="BA26" s="150">
        <v>22</v>
      </c>
      <c r="BB26" s="150">
        <v>20</v>
      </c>
      <c r="BC26" s="150">
        <v>20</v>
      </c>
      <c r="BD26" s="25">
        <v>20</v>
      </c>
      <c r="BE26" s="25">
        <v>20</v>
      </c>
      <c r="BF26" s="25">
        <v>19</v>
      </c>
      <c r="BG26" s="25">
        <v>19</v>
      </c>
      <c r="BH26" s="25">
        <v>19</v>
      </c>
      <c r="BI26" s="25">
        <v>19</v>
      </c>
      <c r="BJ26" s="25">
        <v>18</v>
      </c>
      <c r="BK26" s="25">
        <v>18</v>
      </c>
      <c r="BL26" s="25">
        <v>17</v>
      </c>
      <c r="BM26" s="25">
        <v>17</v>
      </c>
      <c r="BN26" s="71">
        <v>14</v>
      </c>
      <c r="BO26" s="71">
        <v>12</v>
      </c>
      <c r="BP26" s="71">
        <v>12</v>
      </c>
      <c r="BQ26" s="71">
        <v>10</v>
      </c>
      <c r="BR26" s="71">
        <v>10</v>
      </c>
      <c r="BS26" s="71">
        <v>10</v>
      </c>
      <c r="BT26" s="71">
        <v>10</v>
      </c>
      <c r="BU26" s="71">
        <v>10</v>
      </c>
      <c r="BV26" s="71">
        <v>10</v>
      </c>
      <c r="BW26" s="71">
        <v>10</v>
      </c>
      <c r="BX26" s="71">
        <v>10</v>
      </c>
      <c r="BY26" s="71">
        <v>10</v>
      </c>
      <c r="BZ26" s="71">
        <v>10</v>
      </c>
      <c r="CA26" s="25">
        <v>9</v>
      </c>
      <c r="CB26" s="25">
        <v>9</v>
      </c>
      <c r="CC26" s="25">
        <v>9</v>
      </c>
      <c r="CD26" s="25">
        <v>9</v>
      </c>
      <c r="CE26" s="25">
        <v>9</v>
      </c>
      <c r="CF26" s="25">
        <v>9</v>
      </c>
      <c r="CG26" s="25">
        <v>9</v>
      </c>
      <c r="CH26" s="25">
        <v>9</v>
      </c>
      <c r="CI26" s="25">
        <v>9</v>
      </c>
      <c r="CJ26" s="25">
        <v>9</v>
      </c>
      <c r="CK26" s="25">
        <v>9</v>
      </c>
      <c r="CL26" s="25">
        <v>9</v>
      </c>
      <c r="CM26" s="25">
        <v>9</v>
      </c>
      <c r="CN26" s="25">
        <v>9</v>
      </c>
      <c r="CO26" s="25">
        <v>9</v>
      </c>
      <c r="CP26" s="25">
        <v>9</v>
      </c>
      <c r="CQ26" s="25">
        <v>9</v>
      </c>
      <c r="CR26" s="25">
        <v>9</v>
      </c>
      <c r="CS26" s="25">
        <v>9</v>
      </c>
      <c r="CT26" s="25">
        <v>9</v>
      </c>
      <c r="CU26" s="25">
        <v>9</v>
      </c>
      <c r="CV26" s="25">
        <v>9</v>
      </c>
      <c r="CW26" s="25">
        <v>9</v>
      </c>
      <c r="CX26" s="25">
        <v>9</v>
      </c>
      <c r="CY26" s="25">
        <v>9</v>
      </c>
      <c r="CZ26" s="25">
        <v>9</v>
      </c>
      <c r="DA26" s="25">
        <v>9</v>
      </c>
      <c r="DB26" s="25">
        <v>9</v>
      </c>
      <c r="DC26" s="25">
        <v>9</v>
      </c>
      <c r="DD26" s="85">
        <v>9</v>
      </c>
      <c r="DE26" s="85">
        <v>9</v>
      </c>
      <c r="DF26" s="85">
        <v>9</v>
      </c>
      <c r="DG26" s="25">
        <v>9</v>
      </c>
      <c r="DH26" s="25">
        <v>9</v>
      </c>
      <c r="DI26" s="25">
        <v>9</v>
      </c>
      <c r="DJ26" s="77">
        <v>9</v>
      </c>
      <c r="DK26" s="77">
        <v>9</v>
      </c>
      <c r="DL26" s="77">
        <v>9</v>
      </c>
      <c r="DM26" s="77">
        <v>9</v>
      </c>
      <c r="DN26" s="77">
        <v>9</v>
      </c>
      <c r="DO26" s="77">
        <v>9</v>
      </c>
      <c r="DP26" s="77">
        <v>9</v>
      </c>
      <c r="DQ26" s="77">
        <v>9</v>
      </c>
      <c r="DR26" s="77">
        <v>9</v>
      </c>
      <c r="DS26" s="77">
        <v>9</v>
      </c>
      <c r="DT26" s="267">
        <v>9</v>
      </c>
      <c r="DU26" s="77">
        <v>9</v>
      </c>
      <c r="DV26" s="77">
        <v>9</v>
      </c>
      <c r="DW26" s="77">
        <v>9</v>
      </c>
      <c r="DX26" s="77">
        <v>9</v>
      </c>
      <c r="DY26" s="77">
        <v>9</v>
      </c>
      <c r="DZ26" s="77">
        <v>9</v>
      </c>
      <c r="EA26" s="77">
        <v>9</v>
      </c>
      <c r="EB26" s="25">
        <v>9</v>
      </c>
      <c r="EC26" s="25">
        <v>9</v>
      </c>
      <c r="ED26" s="25">
        <v>9</v>
      </c>
      <c r="EE26" s="25">
        <v>9</v>
      </c>
      <c r="EF26" s="25">
        <v>9</v>
      </c>
      <c r="EG26" s="25">
        <v>9</v>
      </c>
      <c r="EH26" s="79">
        <v>9</v>
      </c>
      <c r="EI26" s="79">
        <v>9</v>
      </c>
      <c r="EJ26" s="79">
        <v>9</v>
      </c>
      <c r="EK26" s="79">
        <v>9</v>
      </c>
      <c r="EL26" s="79">
        <v>9</v>
      </c>
      <c r="EM26" s="79">
        <v>9</v>
      </c>
      <c r="EN26" s="79">
        <v>9</v>
      </c>
      <c r="EO26" s="79">
        <v>9</v>
      </c>
      <c r="EP26" s="79">
        <v>9</v>
      </c>
      <c r="EQ26" s="79">
        <v>9</v>
      </c>
      <c r="ER26" s="79">
        <v>9</v>
      </c>
      <c r="ES26" s="25">
        <v>9</v>
      </c>
      <c r="ET26" s="25">
        <v>7</v>
      </c>
      <c r="EU26" s="25">
        <v>7</v>
      </c>
      <c r="EV26" s="25">
        <v>7</v>
      </c>
      <c r="EW26" s="25">
        <v>7</v>
      </c>
      <c r="EX26" s="25">
        <v>7</v>
      </c>
      <c r="EY26" s="25">
        <v>7</v>
      </c>
      <c r="EZ26" s="25">
        <v>7</v>
      </c>
      <c r="FA26" s="25">
        <v>7</v>
      </c>
      <c r="FB26" s="25">
        <v>7</v>
      </c>
      <c r="FC26" s="25">
        <v>7</v>
      </c>
      <c r="FD26" s="117">
        <v>7</v>
      </c>
      <c r="FE26" s="3">
        <v>7</v>
      </c>
      <c r="FF26" s="3">
        <v>7</v>
      </c>
      <c r="FG26" s="3">
        <v>7</v>
      </c>
      <c r="FH26" s="3">
        <v>7</v>
      </c>
      <c r="FI26" s="3">
        <v>7</v>
      </c>
      <c r="FJ26" s="3">
        <v>7</v>
      </c>
      <c r="FK26" s="3">
        <v>7</v>
      </c>
      <c r="FL26" s="3">
        <v>7</v>
      </c>
      <c r="FM26" s="3">
        <v>7</v>
      </c>
      <c r="FN26" s="3">
        <v>7</v>
      </c>
      <c r="FO26" s="3">
        <v>7</v>
      </c>
      <c r="FP26" s="117">
        <v>7</v>
      </c>
      <c r="FQ26" s="3">
        <v>7</v>
      </c>
      <c r="FR26" s="3">
        <v>7</v>
      </c>
      <c r="FS26" s="3">
        <v>7</v>
      </c>
      <c r="FT26" s="3">
        <v>7</v>
      </c>
      <c r="FU26" s="3">
        <v>7</v>
      </c>
      <c r="FV26" s="3">
        <v>7</v>
      </c>
      <c r="FW26" s="3">
        <v>7</v>
      </c>
      <c r="FX26" s="3">
        <v>7</v>
      </c>
      <c r="FY26" s="3">
        <v>7</v>
      </c>
      <c r="FZ26" s="3">
        <v>7</v>
      </c>
      <c r="GA26" s="132">
        <v>7</v>
      </c>
      <c r="GB26" s="117">
        <v>7</v>
      </c>
      <c r="GC26" s="3">
        <v>7</v>
      </c>
      <c r="GD26" s="132">
        <v>7</v>
      </c>
      <c r="GE26" s="3">
        <v>7</v>
      </c>
      <c r="GF26" s="3">
        <v>7</v>
      </c>
      <c r="GG26" s="3">
        <v>7</v>
      </c>
      <c r="GH26" s="3">
        <v>7</v>
      </c>
      <c r="GI26" s="132">
        <v>7</v>
      </c>
    </row>
    <row r="27" spans="1:191" ht="15" customHeight="1">
      <c r="A27" s="6"/>
      <c r="B27" s="93" t="s">
        <v>36</v>
      </c>
      <c r="C27" s="25"/>
      <c r="D27" s="25"/>
      <c r="E27" s="25"/>
      <c r="F27" s="25"/>
      <c r="G27" s="25"/>
      <c r="H27" s="25"/>
      <c r="I27" s="25"/>
      <c r="J27" s="25"/>
      <c r="K27" s="70">
        <v>9.5</v>
      </c>
      <c r="L27" s="70">
        <v>9.5</v>
      </c>
      <c r="M27" s="70">
        <v>9.5</v>
      </c>
      <c r="N27" s="70">
        <v>9.5</v>
      </c>
      <c r="O27" s="71">
        <v>9.5</v>
      </c>
      <c r="P27" s="71">
        <v>9.5</v>
      </c>
      <c r="Q27" s="71">
        <v>9.5</v>
      </c>
      <c r="R27" s="71">
        <v>9.5</v>
      </c>
      <c r="S27" s="71">
        <v>9.5</v>
      </c>
      <c r="T27" s="71">
        <v>9.5</v>
      </c>
      <c r="U27" s="71">
        <v>9.5</v>
      </c>
      <c r="V27" s="71">
        <v>9.5</v>
      </c>
      <c r="W27" s="71">
        <v>9.5</v>
      </c>
      <c r="X27" s="71">
        <v>10.5</v>
      </c>
      <c r="Y27" s="71">
        <v>10.5</v>
      </c>
      <c r="Z27" s="71">
        <v>10.5</v>
      </c>
      <c r="AA27" s="71">
        <v>10.5</v>
      </c>
      <c r="AB27" s="71">
        <v>10.5</v>
      </c>
      <c r="AC27" s="71">
        <v>10.5</v>
      </c>
      <c r="AD27" s="71">
        <v>10.5</v>
      </c>
      <c r="AE27" s="71">
        <v>11.5</v>
      </c>
      <c r="AF27" s="71">
        <v>11.5</v>
      </c>
      <c r="AG27" s="71">
        <v>11.5</v>
      </c>
      <c r="AH27" s="25">
        <v>15.5</v>
      </c>
      <c r="AI27" s="25">
        <v>15.5</v>
      </c>
      <c r="AJ27" s="25">
        <v>15.5</v>
      </c>
      <c r="AK27" s="25">
        <v>15.5</v>
      </c>
      <c r="AL27" s="25">
        <v>19.5</v>
      </c>
      <c r="AM27" s="25">
        <v>19.5</v>
      </c>
      <c r="AN27" s="25">
        <v>23.5</v>
      </c>
      <c r="AO27" s="25">
        <v>23.5</v>
      </c>
      <c r="AP27" s="25">
        <v>23.5</v>
      </c>
      <c r="AQ27" s="25">
        <v>23.5</v>
      </c>
      <c r="AR27" s="158">
        <v>23.5</v>
      </c>
      <c r="AS27" s="158">
        <v>23.5</v>
      </c>
      <c r="AT27" s="158">
        <v>23.5</v>
      </c>
      <c r="AU27" s="158">
        <v>23.5</v>
      </c>
      <c r="AV27" s="158">
        <v>23.5</v>
      </c>
      <c r="AW27" s="159">
        <v>23.5</v>
      </c>
      <c r="AX27" s="158">
        <v>23.5</v>
      </c>
      <c r="AY27" s="158">
        <v>23.5</v>
      </c>
      <c r="AZ27" s="158">
        <v>23.5</v>
      </c>
      <c r="BA27" s="160">
        <v>22.5</v>
      </c>
      <c r="BB27" s="160">
        <v>20.5</v>
      </c>
      <c r="BC27" s="160">
        <v>20.5</v>
      </c>
      <c r="BD27" s="25">
        <v>20.5</v>
      </c>
      <c r="BE27" s="25">
        <v>20.5</v>
      </c>
      <c r="BF27" s="25">
        <v>19.5</v>
      </c>
      <c r="BG27" s="25">
        <v>19.5</v>
      </c>
      <c r="BH27" s="25">
        <v>19.5</v>
      </c>
      <c r="BI27" s="25">
        <v>19.5</v>
      </c>
      <c r="BJ27" s="25">
        <v>18.5</v>
      </c>
      <c r="BK27" s="25">
        <v>18.5</v>
      </c>
      <c r="BL27" s="25">
        <v>17.5</v>
      </c>
      <c r="BM27" s="25">
        <v>17.5</v>
      </c>
      <c r="BN27" s="71">
        <v>14.5</v>
      </c>
      <c r="BO27" s="71">
        <v>12.5</v>
      </c>
      <c r="BP27" s="71">
        <v>12.5</v>
      </c>
      <c r="BQ27" s="71">
        <v>10.5</v>
      </c>
      <c r="BR27" s="71">
        <v>10.5</v>
      </c>
      <c r="BS27" s="71">
        <v>10.5</v>
      </c>
      <c r="BT27" s="71">
        <v>10.5</v>
      </c>
      <c r="BU27" s="71">
        <v>10.5</v>
      </c>
      <c r="BV27" s="71">
        <v>10.5</v>
      </c>
      <c r="BW27" s="71">
        <v>10.5</v>
      </c>
      <c r="BX27" s="71">
        <v>10.5</v>
      </c>
      <c r="BY27" s="71">
        <v>10.5</v>
      </c>
      <c r="BZ27" s="71">
        <v>10.5</v>
      </c>
      <c r="CA27" s="25">
        <v>9.5</v>
      </c>
      <c r="CB27" s="25">
        <v>9.5</v>
      </c>
      <c r="CC27" s="25">
        <v>9.5</v>
      </c>
      <c r="CD27" s="25">
        <v>9.5</v>
      </c>
      <c r="CE27" s="25">
        <v>9.5</v>
      </c>
      <c r="CF27" s="25">
        <v>9.5</v>
      </c>
      <c r="CG27" s="25">
        <v>9.5</v>
      </c>
      <c r="CH27" s="25">
        <v>9.5</v>
      </c>
      <c r="CI27" s="25">
        <v>9.5</v>
      </c>
      <c r="CJ27" s="25">
        <v>9.5</v>
      </c>
      <c r="CK27" s="25">
        <v>9.5</v>
      </c>
      <c r="CL27" s="25">
        <v>9.5</v>
      </c>
      <c r="CM27" s="25">
        <v>9.5</v>
      </c>
      <c r="CN27" s="25">
        <v>9.5</v>
      </c>
      <c r="CO27" s="25">
        <v>9.5</v>
      </c>
      <c r="CP27" s="25">
        <v>9.5</v>
      </c>
      <c r="CQ27" s="25">
        <v>9.5</v>
      </c>
      <c r="CR27" s="25">
        <v>9.5</v>
      </c>
      <c r="CS27" s="25">
        <v>9.5</v>
      </c>
      <c r="CT27" s="25">
        <v>9.5</v>
      </c>
      <c r="CU27" s="25">
        <v>9.5</v>
      </c>
      <c r="CV27" s="25">
        <v>9.5</v>
      </c>
      <c r="CW27" s="25">
        <v>9.5</v>
      </c>
      <c r="CX27" s="25">
        <v>9.5</v>
      </c>
      <c r="CY27" s="25">
        <v>9.5</v>
      </c>
      <c r="CZ27" s="25">
        <v>9.5</v>
      </c>
      <c r="DA27" s="25">
        <v>9.5</v>
      </c>
      <c r="DB27" s="25">
        <v>9.5</v>
      </c>
      <c r="DC27" s="25">
        <v>9.5</v>
      </c>
      <c r="DD27" s="262">
        <v>9.5</v>
      </c>
      <c r="DE27" s="262">
        <v>9.5</v>
      </c>
      <c r="DF27" s="262">
        <v>9.5</v>
      </c>
      <c r="DG27" s="25">
        <v>9.5</v>
      </c>
      <c r="DH27" s="25">
        <v>9.5</v>
      </c>
      <c r="DI27" s="25">
        <v>9.5</v>
      </c>
      <c r="DJ27" s="64">
        <v>9.5</v>
      </c>
      <c r="DK27" s="64">
        <v>9.5</v>
      </c>
      <c r="DL27" s="64">
        <v>9.5</v>
      </c>
      <c r="DM27" s="64">
        <v>9.5</v>
      </c>
      <c r="DN27" s="64">
        <v>9.5</v>
      </c>
      <c r="DO27" s="64">
        <v>9.5</v>
      </c>
      <c r="DP27" s="64">
        <v>9.5</v>
      </c>
      <c r="DQ27" s="64">
        <v>9.5</v>
      </c>
      <c r="DR27" s="64">
        <v>9.5</v>
      </c>
      <c r="DS27" s="64">
        <v>9.5</v>
      </c>
      <c r="DT27" s="165">
        <v>9.5</v>
      </c>
      <c r="DU27" s="64">
        <v>9.5</v>
      </c>
      <c r="DV27" s="64">
        <v>9.5</v>
      </c>
      <c r="DW27" s="64">
        <v>9.5</v>
      </c>
      <c r="DX27" s="64">
        <v>9.5</v>
      </c>
      <c r="DY27" s="64">
        <v>9.5</v>
      </c>
      <c r="DZ27" s="64">
        <v>9.5</v>
      </c>
      <c r="EA27" s="64">
        <v>9.5</v>
      </c>
      <c r="EB27" s="25">
        <v>9.5</v>
      </c>
      <c r="EC27" s="25">
        <v>9.5</v>
      </c>
      <c r="ED27" s="25">
        <v>9.5</v>
      </c>
      <c r="EE27" s="25">
        <v>9.5</v>
      </c>
      <c r="EF27" s="25">
        <v>9.5</v>
      </c>
      <c r="EG27" s="25">
        <v>9.5</v>
      </c>
      <c r="EH27" s="25">
        <v>9.5</v>
      </c>
      <c r="EI27" s="159">
        <v>9.5</v>
      </c>
      <c r="EJ27" s="159">
        <v>9.5</v>
      </c>
      <c r="EK27" s="159">
        <v>9.5</v>
      </c>
      <c r="EL27" s="159">
        <v>9.5</v>
      </c>
      <c r="EM27" s="159">
        <v>9.5</v>
      </c>
      <c r="EN27" s="159">
        <v>9.5</v>
      </c>
      <c r="EO27" s="159">
        <v>9.5</v>
      </c>
      <c r="EP27" s="159">
        <v>9.5</v>
      </c>
      <c r="EQ27" s="159">
        <v>9.5</v>
      </c>
      <c r="ER27" s="159">
        <v>9.5</v>
      </c>
      <c r="ES27" s="25">
        <v>9.5</v>
      </c>
      <c r="ET27" s="25">
        <v>7.5</v>
      </c>
      <c r="EU27" s="25">
        <v>7.5</v>
      </c>
      <c r="EV27" s="25">
        <v>7.5</v>
      </c>
      <c r="EW27" s="25">
        <v>7.5</v>
      </c>
      <c r="EX27" s="25">
        <v>7.5</v>
      </c>
      <c r="EY27" s="25">
        <v>7.5</v>
      </c>
      <c r="EZ27" s="25">
        <v>7.5</v>
      </c>
      <c r="FA27" s="25">
        <v>7.5</v>
      </c>
      <c r="FB27" s="25">
        <v>7.5</v>
      </c>
      <c r="FC27" s="25">
        <v>7.5</v>
      </c>
      <c r="FD27" s="117">
        <v>7.5</v>
      </c>
      <c r="FE27" s="3">
        <v>7.5</v>
      </c>
      <c r="FF27" s="3">
        <v>7.5</v>
      </c>
      <c r="FG27" s="3">
        <v>7.5</v>
      </c>
      <c r="FH27" s="3">
        <v>7.5</v>
      </c>
      <c r="FI27" s="3">
        <v>7.5</v>
      </c>
      <c r="FJ27" s="3">
        <v>7.5</v>
      </c>
      <c r="FK27" s="3">
        <v>7.5</v>
      </c>
      <c r="FL27" s="3">
        <v>7.5</v>
      </c>
      <c r="FM27" s="3">
        <v>7.5</v>
      </c>
      <c r="FN27" s="3">
        <v>7.5</v>
      </c>
      <c r="FO27" s="3">
        <v>7.5</v>
      </c>
      <c r="FP27" s="117">
        <v>7.5</v>
      </c>
      <c r="FQ27" s="3">
        <v>7.5</v>
      </c>
      <c r="FR27" s="3">
        <v>7.5</v>
      </c>
      <c r="FS27" s="3">
        <v>7.5</v>
      </c>
      <c r="FT27" s="3">
        <v>7.5</v>
      </c>
      <c r="FU27" s="376">
        <v>7.5</v>
      </c>
      <c r="FV27" s="376">
        <v>7.5</v>
      </c>
      <c r="FW27" s="376">
        <v>7.5</v>
      </c>
      <c r="FX27" s="376">
        <v>7.5</v>
      </c>
      <c r="FY27" s="376">
        <v>7.5</v>
      </c>
      <c r="FZ27" s="376">
        <v>7.5</v>
      </c>
      <c r="GA27" s="407">
        <v>7.5</v>
      </c>
      <c r="GB27" s="427">
        <v>7.5</v>
      </c>
      <c r="GC27" s="376">
        <v>7.5</v>
      </c>
      <c r="GD27" s="407">
        <v>7.5</v>
      </c>
      <c r="GE27" s="3">
        <v>7.5</v>
      </c>
      <c r="GF27" s="49">
        <v>5</v>
      </c>
      <c r="GG27" s="49">
        <v>5</v>
      </c>
      <c r="GH27" s="49">
        <v>5</v>
      </c>
      <c r="GI27" s="379">
        <v>5</v>
      </c>
    </row>
    <row r="28" spans="1:191" ht="15" customHeight="1">
      <c r="A28" s="6"/>
      <c r="B28" s="93" t="s">
        <v>77</v>
      </c>
      <c r="C28" s="25"/>
      <c r="D28" s="25"/>
      <c r="E28" s="25"/>
      <c r="F28" s="25"/>
      <c r="G28" s="25"/>
      <c r="H28" s="25"/>
      <c r="I28" s="25"/>
      <c r="J28" s="25"/>
      <c r="K28" s="70"/>
      <c r="L28" s="70"/>
      <c r="M28" s="70"/>
      <c r="N28" s="70"/>
      <c r="O28" s="71"/>
      <c r="P28" s="71"/>
      <c r="Q28" s="71"/>
      <c r="R28" s="71"/>
      <c r="S28" s="71"/>
      <c r="T28" s="71"/>
      <c r="U28" s="71"/>
      <c r="V28" s="71"/>
      <c r="W28" s="71"/>
      <c r="X28" s="71"/>
      <c r="Y28" s="71"/>
      <c r="Z28" s="71"/>
      <c r="AA28" s="71"/>
      <c r="AB28" s="71"/>
      <c r="AC28" s="71"/>
      <c r="AD28" s="71"/>
      <c r="AE28" s="71"/>
      <c r="AF28" s="71"/>
      <c r="AG28" s="71"/>
      <c r="AH28" s="71"/>
      <c r="AI28" s="71"/>
      <c r="AJ28" s="71"/>
      <c r="AK28" s="71"/>
      <c r="AL28" s="25"/>
      <c r="AM28" s="25"/>
      <c r="AN28" s="25"/>
      <c r="AO28" s="25"/>
      <c r="AP28" s="25"/>
      <c r="AQ28" s="25"/>
      <c r="AR28" s="81"/>
      <c r="AS28" s="81"/>
      <c r="AT28" s="81"/>
      <c r="AU28" s="81"/>
      <c r="AV28" s="81"/>
      <c r="AW28" s="79"/>
      <c r="AX28" s="81"/>
      <c r="AY28" s="81"/>
      <c r="AZ28" s="81"/>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62"/>
      <c r="DE28" s="262"/>
      <c r="DF28" s="262"/>
      <c r="DG28" s="77"/>
      <c r="DH28" s="77"/>
      <c r="DI28" s="77"/>
      <c r="DJ28" s="77"/>
      <c r="DK28" s="77"/>
      <c r="DL28" s="77"/>
      <c r="DM28" s="77"/>
      <c r="DN28" s="77"/>
      <c r="DO28" s="77"/>
      <c r="DP28" s="77"/>
      <c r="DQ28" s="77"/>
      <c r="DR28" s="77"/>
      <c r="DS28" s="77"/>
      <c r="DT28" s="267"/>
      <c r="DU28" s="77"/>
      <c r="DV28" s="77"/>
      <c r="DW28" s="77"/>
      <c r="DX28" s="77"/>
      <c r="DY28" s="77"/>
      <c r="DZ28" s="77"/>
      <c r="EA28" s="77"/>
      <c r="EB28" s="25"/>
      <c r="EC28" s="25"/>
      <c r="ED28" s="25"/>
      <c r="EE28" s="25"/>
      <c r="EF28" s="25"/>
      <c r="EG28" s="25"/>
      <c r="EH28" s="79"/>
      <c r="EI28" s="79"/>
      <c r="EJ28" s="79"/>
      <c r="EK28" s="79"/>
      <c r="EL28" s="79"/>
      <c r="EM28" s="79"/>
      <c r="EN28" s="79"/>
      <c r="EO28" s="79"/>
      <c r="EP28" s="79"/>
      <c r="EQ28" s="79"/>
      <c r="ER28" s="79"/>
      <c r="ES28" s="25"/>
      <c r="ET28" s="25"/>
      <c r="EU28" s="25"/>
      <c r="EV28" s="25"/>
      <c r="EW28" s="25"/>
      <c r="EX28" s="25"/>
      <c r="EY28" s="25"/>
      <c r="EZ28" s="25"/>
      <c r="FA28" s="25"/>
      <c r="FB28" s="25"/>
      <c r="FC28" s="25"/>
      <c r="FD28" s="117"/>
      <c r="FP28" s="117"/>
      <c r="FU28" s="376"/>
      <c r="FV28" s="376"/>
      <c r="FW28" s="376"/>
      <c r="FX28" s="376"/>
      <c r="FY28" s="390"/>
      <c r="FZ28" s="390"/>
      <c r="GA28" s="406"/>
      <c r="GB28" s="426"/>
      <c r="GC28" s="390"/>
      <c r="GD28" s="406"/>
      <c r="GE28" s="3"/>
      <c r="GF28" s="3"/>
      <c r="GG28" s="3"/>
      <c r="GH28" s="3"/>
      <c r="GI28" s="132"/>
    </row>
    <row r="29" spans="1:191" ht="15" customHeight="1">
      <c r="A29" s="6"/>
      <c r="B29" s="240" t="s">
        <v>49</v>
      </c>
      <c r="C29" s="25"/>
      <c r="D29" s="25"/>
      <c r="E29" s="25"/>
      <c r="F29" s="25"/>
      <c r="G29" s="25"/>
      <c r="H29" s="25"/>
      <c r="I29" s="25"/>
      <c r="J29" s="25"/>
      <c r="K29" s="70">
        <v>4</v>
      </c>
      <c r="L29" s="70">
        <v>4</v>
      </c>
      <c r="M29" s="70">
        <v>4</v>
      </c>
      <c r="N29" s="70">
        <v>4</v>
      </c>
      <c r="O29" s="71">
        <v>4</v>
      </c>
      <c r="P29" s="71">
        <v>4</v>
      </c>
      <c r="Q29" s="71">
        <v>4</v>
      </c>
      <c r="R29" s="71">
        <v>4</v>
      </c>
      <c r="S29" s="71">
        <v>4</v>
      </c>
      <c r="T29" s="71">
        <v>4</v>
      </c>
      <c r="U29" s="71">
        <v>4</v>
      </c>
      <c r="V29" s="71">
        <v>5</v>
      </c>
      <c r="W29" s="71">
        <v>5</v>
      </c>
      <c r="X29" s="71">
        <v>5</v>
      </c>
      <c r="Y29" s="71">
        <v>5</v>
      </c>
      <c r="Z29" s="71">
        <v>5</v>
      </c>
      <c r="AA29" s="71">
        <v>5</v>
      </c>
      <c r="AB29" s="71">
        <v>5</v>
      </c>
      <c r="AC29" s="71">
        <v>5</v>
      </c>
      <c r="AD29" s="71">
        <v>5</v>
      </c>
      <c r="AE29" s="71">
        <v>5</v>
      </c>
      <c r="AF29" s="71">
        <v>5</v>
      </c>
      <c r="AG29" s="71">
        <v>5</v>
      </c>
      <c r="AH29" s="25">
        <v>10</v>
      </c>
      <c r="AI29" s="25">
        <v>10</v>
      </c>
      <c r="AJ29" s="25">
        <v>10</v>
      </c>
      <c r="AK29" s="25">
        <v>10</v>
      </c>
      <c r="AL29" s="25">
        <v>14</v>
      </c>
      <c r="AM29" s="25">
        <v>14</v>
      </c>
      <c r="AN29" s="25">
        <v>18</v>
      </c>
      <c r="AO29" s="25">
        <v>18</v>
      </c>
      <c r="AP29" s="25">
        <v>18</v>
      </c>
      <c r="AQ29" s="25">
        <v>18</v>
      </c>
      <c r="AR29" s="25">
        <v>18</v>
      </c>
      <c r="AS29" s="25">
        <v>18</v>
      </c>
      <c r="AT29" s="25"/>
      <c r="AU29" s="25"/>
      <c r="AV29" s="25"/>
      <c r="AW29" s="62"/>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62"/>
      <c r="DE29" s="262"/>
      <c r="DF29" s="262"/>
      <c r="DG29" s="25"/>
      <c r="DH29" s="25"/>
      <c r="DI29" s="25"/>
      <c r="DJ29" s="77"/>
      <c r="DK29" s="77"/>
      <c r="DL29" s="77"/>
      <c r="DM29" s="77"/>
      <c r="DN29" s="77"/>
      <c r="DO29" s="77"/>
      <c r="DP29" s="77"/>
      <c r="DQ29" s="77"/>
      <c r="DR29" s="77"/>
      <c r="DS29" s="77"/>
      <c r="DT29" s="267"/>
      <c r="DU29" s="77"/>
      <c r="DV29" s="77"/>
      <c r="DW29" s="77"/>
      <c r="DX29" s="77"/>
      <c r="DY29" s="77"/>
      <c r="DZ29" s="77"/>
      <c r="EA29" s="77"/>
      <c r="EB29" s="25"/>
      <c r="EC29" s="25"/>
      <c r="ED29" s="25"/>
      <c r="EE29" s="25"/>
      <c r="EF29" s="25"/>
      <c r="EG29" s="25"/>
      <c r="EH29" s="79"/>
      <c r="EI29" s="79"/>
      <c r="EJ29" s="79"/>
      <c r="EK29" s="25"/>
      <c r="EL29" s="79"/>
      <c r="EM29" s="79"/>
      <c r="EN29" s="79"/>
      <c r="EO29" s="79"/>
      <c r="EP29" s="79"/>
      <c r="EQ29" s="79"/>
      <c r="ER29" s="79"/>
      <c r="ES29" s="25"/>
      <c r="ET29" s="25"/>
      <c r="EU29" s="25"/>
      <c r="EV29" s="25"/>
      <c r="EW29" s="25"/>
      <c r="EX29" s="25"/>
      <c r="EY29" s="25"/>
      <c r="EZ29" s="25"/>
      <c r="FA29" s="25"/>
      <c r="FB29" s="25"/>
      <c r="FC29" s="25"/>
      <c r="FD29" s="117"/>
      <c r="FP29" s="117"/>
      <c r="FU29" s="376"/>
      <c r="FV29" s="376"/>
      <c r="FW29" s="376"/>
      <c r="FX29" s="376"/>
      <c r="FY29" s="390"/>
      <c r="FZ29" s="390"/>
      <c r="GA29" s="406"/>
      <c r="GB29" s="426"/>
      <c r="GC29" s="390"/>
      <c r="GD29" s="406"/>
      <c r="GE29" s="3"/>
      <c r="GF29" s="3"/>
      <c r="GG29" s="3"/>
      <c r="GH29" s="3"/>
      <c r="GI29" s="132"/>
    </row>
    <row r="30" spans="1:191" ht="15" customHeight="1">
      <c r="A30" s="6"/>
      <c r="B30" s="240" t="s">
        <v>84</v>
      </c>
      <c r="C30" s="25"/>
      <c r="D30" s="25"/>
      <c r="E30" s="25"/>
      <c r="F30" s="25"/>
      <c r="G30" s="25"/>
      <c r="H30" s="25"/>
      <c r="I30" s="25"/>
      <c r="J30" s="25"/>
      <c r="K30" s="70"/>
      <c r="L30" s="70"/>
      <c r="M30" s="70"/>
      <c r="N30" s="70"/>
      <c r="O30" s="71"/>
      <c r="P30" s="71"/>
      <c r="Q30" s="71"/>
      <c r="R30" s="71"/>
      <c r="S30" s="71"/>
      <c r="T30" s="71"/>
      <c r="U30" s="71"/>
      <c r="V30" s="71"/>
      <c r="W30" s="71"/>
      <c r="X30" s="71"/>
      <c r="Y30" s="71"/>
      <c r="Z30" s="71"/>
      <c r="AA30" s="71"/>
      <c r="AB30" s="71"/>
      <c r="AC30" s="71"/>
      <c r="AD30" s="71"/>
      <c r="AE30" s="71"/>
      <c r="AF30" s="71"/>
      <c r="AG30" s="71"/>
      <c r="AH30" s="25"/>
      <c r="AI30" s="25"/>
      <c r="AJ30" s="25"/>
      <c r="AK30" s="25"/>
      <c r="AL30" s="25"/>
      <c r="AM30" s="25"/>
      <c r="AN30" s="25"/>
      <c r="AO30" s="25"/>
      <c r="AP30" s="25"/>
      <c r="AQ30" s="25"/>
      <c r="AR30" s="25"/>
      <c r="AS30" s="25"/>
      <c r="AT30" s="25">
        <v>18</v>
      </c>
      <c r="AU30" s="25">
        <v>18</v>
      </c>
      <c r="AV30" s="25">
        <v>18</v>
      </c>
      <c r="AW30" s="62">
        <v>18</v>
      </c>
      <c r="AX30" s="25">
        <v>18</v>
      </c>
      <c r="AY30" s="25">
        <v>18</v>
      </c>
      <c r="AZ30" s="25">
        <v>18</v>
      </c>
      <c r="BA30" s="150">
        <v>17</v>
      </c>
      <c r="BB30" s="150">
        <v>15</v>
      </c>
      <c r="BC30" s="150">
        <v>15</v>
      </c>
      <c r="BD30" s="25">
        <v>15</v>
      </c>
      <c r="BE30" s="25">
        <v>15</v>
      </c>
      <c r="BF30" s="25">
        <v>14</v>
      </c>
      <c r="BG30" s="25">
        <v>14</v>
      </c>
      <c r="BH30" s="25">
        <v>14</v>
      </c>
      <c r="BI30" s="25">
        <v>14</v>
      </c>
      <c r="BJ30" s="25">
        <v>13</v>
      </c>
      <c r="BK30" s="25">
        <v>13</v>
      </c>
      <c r="BL30" s="25">
        <v>12</v>
      </c>
      <c r="BM30" s="25">
        <v>12</v>
      </c>
      <c r="BN30" s="71">
        <v>9</v>
      </c>
      <c r="BO30" s="71">
        <v>7</v>
      </c>
      <c r="BP30" s="71">
        <v>7</v>
      </c>
      <c r="BQ30" s="71">
        <v>5</v>
      </c>
      <c r="BR30" s="71">
        <v>5</v>
      </c>
      <c r="BS30" s="71">
        <v>5</v>
      </c>
      <c r="BT30" s="71">
        <v>5</v>
      </c>
      <c r="BU30" s="71">
        <v>5</v>
      </c>
      <c r="BV30" s="71">
        <v>5</v>
      </c>
      <c r="BW30" s="71">
        <v>5</v>
      </c>
      <c r="BX30" s="71">
        <v>5</v>
      </c>
      <c r="BY30" s="71">
        <v>5</v>
      </c>
      <c r="BZ30" s="71">
        <v>5</v>
      </c>
      <c r="CA30" s="25">
        <v>4</v>
      </c>
      <c r="CB30" s="25">
        <v>4</v>
      </c>
      <c r="CC30" s="25">
        <v>4</v>
      </c>
      <c r="CD30" s="25">
        <v>4</v>
      </c>
      <c r="CE30" s="25">
        <v>4</v>
      </c>
      <c r="CF30" s="25">
        <v>4</v>
      </c>
      <c r="CG30" s="25">
        <v>4</v>
      </c>
      <c r="CH30" s="25">
        <v>4</v>
      </c>
      <c r="CI30" s="25">
        <v>4</v>
      </c>
      <c r="CJ30" s="25">
        <v>4</v>
      </c>
      <c r="CK30" s="25">
        <v>4</v>
      </c>
      <c r="CL30" s="25">
        <v>4</v>
      </c>
      <c r="CM30" s="25">
        <v>4</v>
      </c>
      <c r="CN30" s="25">
        <v>4</v>
      </c>
      <c r="CO30" s="25">
        <v>4</v>
      </c>
      <c r="CP30" s="25">
        <v>4</v>
      </c>
      <c r="CQ30" s="25">
        <v>4</v>
      </c>
      <c r="CR30" s="25">
        <v>4</v>
      </c>
      <c r="CS30" s="25">
        <v>4</v>
      </c>
      <c r="CT30" s="25">
        <v>4</v>
      </c>
      <c r="CU30" s="25">
        <v>4</v>
      </c>
      <c r="CV30" s="25">
        <v>4</v>
      </c>
      <c r="CW30" s="25">
        <v>4</v>
      </c>
      <c r="CX30" s="25">
        <v>4</v>
      </c>
      <c r="CY30" s="25">
        <v>4</v>
      </c>
      <c r="CZ30" s="25">
        <v>4</v>
      </c>
      <c r="DA30" s="25">
        <v>4</v>
      </c>
      <c r="DB30" s="25">
        <v>4</v>
      </c>
      <c r="DC30" s="25">
        <v>4</v>
      </c>
      <c r="DD30" s="85">
        <v>4</v>
      </c>
      <c r="DE30" s="85">
        <v>4</v>
      </c>
      <c r="DF30" s="85">
        <v>4</v>
      </c>
      <c r="DG30" s="77">
        <v>4</v>
      </c>
      <c r="DH30" s="77">
        <v>4</v>
      </c>
      <c r="DI30" s="77">
        <v>4</v>
      </c>
      <c r="DJ30" s="77">
        <v>4</v>
      </c>
      <c r="DK30" s="77">
        <v>4</v>
      </c>
      <c r="DL30" s="77">
        <v>4</v>
      </c>
      <c r="DM30" s="77">
        <v>4</v>
      </c>
      <c r="DN30" s="77">
        <v>4</v>
      </c>
      <c r="DO30" s="77">
        <v>4</v>
      </c>
      <c r="DP30" s="77">
        <v>4</v>
      </c>
      <c r="DQ30" s="77">
        <v>4</v>
      </c>
      <c r="DR30" s="77">
        <v>4</v>
      </c>
      <c r="DS30" s="77">
        <v>4</v>
      </c>
      <c r="DT30" s="267">
        <v>2</v>
      </c>
      <c r="DU30" s="77">
        <v>2</v>
      </c>
      <c r="DV30" s="77">
        <v>2</v>
      </c>
      <c r="DW30" s="77">
        <v>2</v>
      </c>
      <c r="DX30" s="77">
        <v>2</v>
      </c>
      <c r="DY30" s="81">
        <v>1</v>
      </c>
      <c r="DZ30" s="81">
        <v>1</v>
      </c>
      <c r="EA30" s="81">
        <v>1</v>
      </c>
      <c r="EB30" s="25">
        <v>1</v>
      </c>
      <c r="EC30" s="25">
        <v>1</v>
      </c>
      <c r="ED30" s="25">
        <v>1</v>
      </c>
      <c r="EE30" s="25">
        <v>1</v>
      </c>
      <c r="EF30" s="25">
        <v>1</v>
      </c>
      <c r="EG30" s="25">
        <v>1</v>
      </c>
      <c r="EH30" s="79">
        <v>1</v>
      </c>
      <c r="EI30" s="79">
        <v>1</v>
      </c>
      <c r="EJ30" s="79">
        <v>1</v>
      </c>
      <c r="EK30" s="79">
        <v>1</v>
      </c>
      <c r="EL30" s="79">
        <v>1</v>
      </c>
      <c r="EM30" s="79">
        <v>1</v>
      </c>
      <c r="EN30" s="79">
        <v>1</v>
      </c>
      <c r="EO30" s="79">
        <v>1</v>
      </c>
      <c r="EP30" s="79">
        <v>1</v>
      </c>
      <c r="EQ30" s="79">
        <v>1</v>
      </c>
      <c r="ER30" s="79">
        <v>1</v>
      </c>
      <c r="ES30" s="25">
        <v>1</v>
      </c>
      <c r="ET30" s="25">
        <v>3.5</v>
      </c>
      <c r="EU30" s="25">
        <v>3.5</v>
      </c>
      <c r="EV30" s="25">
        <v>1</v>
      </c>
      <c r="EW30" s="25">
        <v>1</v>
      </c>
      <c r="EX30" s="25">
        <v>1</v>
      </c>
      <c r="EY30" s="25">
        <v>0.75</v>
      </c>
      <c r="EZ30" s="25">
        <v>0.75</v>
      </c>
      <c r="FA30" s="25">
        <v>0.75</v>
      </c>
      <c r="FB30" s="25">
        <v>0.75</v>
      </c>
      <c r="FC30" s="25">
        <v>0.5</v>
      </c>
      <c r="FD30" s="117">
        <v>0.5</v>
      </c>
      <c r="FE30" s="3">
        <v>0.5</v>
      </c>
      <c r="FF30" s="3">
        <v>0.5</v>
      </c>
      <c r="FG30" s="3">
        <v>0.5</v>
      </c>
      <c r="FH30" s="3">
        <v>0.5</v>
      </c>
      <c r="FI30" s="3">
        <v>0.5</v>
      </c>
      <c r="FJ30" s="3">
        <v>0.5</v>
      </c>
      <c r="FK30" s="3">
        <v>0.5</v>
      </c>
      <c r="FL30" s="3">
        <v>0.5</v>
      </c>
      <c r="FM30" s="3">
        <v>0.5</v>
      </c>
      <c r="FN30" s="3">
        <v>0.5</v>
      </c>
      <c r="FO30" s="3">
        <v>0.5</v>
      </c>
      <c r="FP30" s="117">
        <v>0.5</v>
      </c>
      <c r="FQ30" s="3">
        <v>0.5</v>
      </c>
      <c r="FR30" s="3">
        <v>0.5</v>
      </c>
      <c r="FS30" s="3">
        <v>0.5</v>
      </c>
      <c r="FT30" s="3">
        <v>0.5</v>
      </c>
      <c r="FU30" s="376">
        <v>0.5</v>
      </c>
      <c r="FV30" s="376">
        <v>0.5</v>
      </c>
      <c r="FW30" s="376">
        <v>0.5</v>
      </c>
      <c r="FX30" s="392">
        <v>1</v>
      </c>
      <c r="FY30" s="392">
        <v>1</v>
      </c>
      <c r="FZ30" s="392">
        <v>1</v>
      </c>
      <c r="GA30" s="404">
        <v>1</v>
      </c>
      <c r="GB30" s="424">
        <v>1</v>
      </c>
      <c r="GC30" s="392">
        <v>1</v>
      </c>
      <c r="GD30" s="404">
        <v>1</v>
      </c>
      <c r="GE30" s="114">
        <v>1</v>
      </c>
      <c r="GF30" s="114">
        <v>1</v>
      </c>
      <c r="GG30" s="114">
        <v>1</v>
      </c>
      <c r="GH30" s="114">
        <v>1</v>
      </c>
      <c r="GI30" s="436">
        <v>1</v>
      </c>
    </row>
    <row r="31" spans="1:191" ht="15" customHeight="1">
      <c r="A31" s="6"/>
      <c r="B31" s="240" t="s">
        <v>48</v>
      </c>
      <c r="C31" s="25"/>
      <c r="D31" s="25"/>
      <c r="E31" s="25"/>
      <c r="F31" s="25"/>
      <c r="G31" s="25"/>
      <c r="H31" s="25"/>
      <c r="I31" s="25"/>
      <c r="J31" s="25"/>
      <c r="K31" s="71"/>
      <c r="L31" s="71"/>
      <c r="M31" s="71"/>
      <c r="N31" s="71"/>
      <c r="O31" s="71"/>
      <c r="P31" s="25"/>
      <c r="Q31" s="25"/>
      <c r="R31" s="25"/>
      <c r="S31" s="25"/>
      <c r="T31" s="25"/>
      <c r="U31" s="25"/>
      <c r="V31" s="71">
        <v>6</v>
      </c>
      <c r="W31" s="71">
        <v>6</v>
      </c>
      <c r="X31" s="71">
        <v>6</v>
      </c>
      <c r="Y31" s="71">
        <v>6</v>
      </c>
      <c r="Z31" s="71">
        <v>6</v>
      </c>
      <c r="AA31" s="71">
        <v>6</v>
      </c>
      <c r="AB31" s="71">
        <v>6</v>
      </c>
      <c r="AC31" s="71">
        <v>6</v>
      </c>
      <c r="AD31" s="71">
        <v>6</v>
      </c>
      <c r="AE31" s="71">
        <v>6</v>
      </c>
      <c r="AF31" s="71">
        <v>6</v>
      </c>
      <c r="AG31" s="71">
        <v>6</v>
      </c>
      <c r="AH31" s="25">
        <v>11</v>
      </c>
      <c r="AI31" s="25">
        <v>11</v>
      </c>
      <c r="AJ31" s="25">
        <v>11</v>
      </c>
      <c r="AK31" s="25">
        <v>11</v>
      </c>
      <c r="AL31" s="25">
        <v>15</v>
      </c>
      <c r="AM31" s="25">
        <v>15</v>
      </c>
      <c r="AN31" s="25">
        <v>19</v>
      </c>
      <c r="AO31" s="25">
        <v>19</v>
      </c>
      <c r="AP31" s="25">
        <v>19</v>
      </c>
      <c r="AQ31" s="25">
        <v>19</v>
      </c>
      <c r="AR31" s="25">
        <v>19</v>
      </c>
      <c r="AS31" s="25">
        <v>19</v>
      </c>
      <c r="AT31" s="25">
        <v>19</v>
      </c>
      <c r="AU31" s="25">
        <v>19</v>
      </c>
      <c r="AV31" s="25">
        <v>19</v>
      </c>
      <c r="AW31" s="62">
        <v>19</v>
      </c>
      <c r="AX31" s="25">
        <v>19</v>
      </c>
      <c r="AY31" s="25">
        <v>19</v>
      </c>
      <c r="AZ31" s="25">
        <v>19</v>
      </c>
      <c r="BA31" s="150">
        <v>18</v>
      </c>
      <c r="BB31" s="150">
        <v>16</v>
      </c>
      <c r="BC31" s="150">
        <v>16</v>
      </c>
      <c r="BD31" s="25">
        <v>16</v>
      </c>
      <c r="BE31" s="25">
        <v>16</v>
      </c>
      <c r="BF31" s="25">
        <v>15</v>
      </c>
      <c r="BG31" s="25">
        <v>15</v>
      </c>
      <c r="BH31" s="25">
        <v>15</v>
      </c>
      <c r="BI31" s="25">
        <v>15</v>
      </c>
      <c r="BJ31" s="25">
        <v>14</v>
      </c>
      <c r="BK31" s="25">
        <v>14</v>
      </c>
      <c r="BL31" s="25">
        <v>13</v>
      </c>
      <c r="BM31" s="25">
        <v>13</v>
      </c>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68"/>
      <c r="DE31" s="268"/>
      <c r="DF31" s="268"/>
      <c r="DG31" s="77"/>
      <c r="DH31" s="77"/>
      <c r="DI31" s="77"/>
      <c r="DJ31" s="77"/>
      <c r="DK31" s="77"/>
      <c r="DL31" s="77"/>
      <c r="DM31" s="77"/>
      <c r="DN31" s="77"/>
      <c r="DO31" s="77"/>
      <c r="DP31" s="77"/>
      <c r="DQ31" s="77"/>
      <c r="DR31" s="77"/>
      <c r="DS31" s="77"/>
      <c r="DT31" s="267"/>
      <c r="DU31" s="77"/>
      <c r="DV31" s="77"/>
      <c r="DW31" s="77"/>
      <c r="DX31" s="77"/>
      <c r="DY31" s="77"/>
      <c r="DZ31" s="77"/>
      <c r="EA31" s="77"/>
      <c r="EB31" s="77"/>
      <c r="EC31" s="77"/>
      <c r="ED31" s="77"/>
      <c r="EE31" s="77"/>
      <c r="EF31" s="77"/>
      <c r="EG31" s="77"/>
      <c r="EH31" s="79"/>
      <c r="EI31" s="79"/>
      <c r="EJ31" s="79"/>
      <c r="EK31" s="79"/>
      <c r="EL31" s="79"/>
      <c r="EM31" s="79"/>
      <c r="EN31" s="79"/>
      <c r="EO31" s="79"/>
      <c r="EP31" s="79"/>
      <c r="EQ31" s="79"/>
      <c r="ER31" s="79"/>
      <c r="ES31" s="25"/>
      <c r="ET31" s="25"/>
      <c r="EU31" s="25"/>
      <c r="EV31" s="25"/>
      <c r="EW31" s="25"/>
      <c r="EX31" s="25"/>
      <c r="EY31" s="25">
        <v>1</v>
      </c>
      <c r="EZ31" s="25">
        <v>1</v>
      </c>
      <c r="FA31" s="25">
        <v>1</v>
      </c>
      <c r="FB31" s="25">
        <v>1</v>
      </c>
      <c r="FC31" s="25">
        <v>0.75</v>
      </c>
      <c r="FD31" s="117">
        <v>0.75</v>
      </c>
      <c r="FE31" s="3">
        <v>0.75</v>
      </c>
      <c r="FF31" s="3">
        <v>0.75</v>
      </c>
      <c r="FG31" s="3">
        <v>0.75</v>
      </c>
      <c r="FH31" s="3">
        <v>0.75</v>
      </c>
      <c r="FI31" s="3">
        <v>0.75</v>
      </c>
      <c r="FJ31" s="3">
        <v>0.75</v>
      </c>
      <c r="FK31" s="3">
        <v>0.75</v>
      </c>
      <c r="FL31" s="3">
        <v>0.75</v>
      </c>
      <c r="FM31" s="3">
        <v>0.75</v>
      </c>
      <c r="FN31" s="3">
        <v>0.75</v>
      </c>
      <c r="FO31" s="3">
        <v>0.75</v>
      </c>
      <c r="FP31" s="117">
        <v>0.75</v>
      </c>
      <c r="FQ31" s="3">
        <v>0.75</v>
      </c>
      <c r="FR31" s="3">
        <v>0.75</v>
      </c>
      <c r="FS31" s="3">
        <v>0.75</v>
      </c>
      <c r="FT31" s="3">
        <v>0.75</v>
      </c>
      <c r="FU31" s="376">
        <v>0.75</v>
      </c>
      <c r="FV31" s="376">
        <v>0.75</v>
      </c>
      <c r="FW31" s="376">
        <v>0.75</v>
      </c>
      <c r="FX31" s="376"/>
      <c r="FY31" s="390"/>
      <c r="FZ31" s="390"/>
      <c r="GA31" s="406"/>
      <c r="GB31" s="426"/>
      <c r="GC31" s="390"/>
      <c r="GD31" s="406"/>
      <c r="GE31" s="3"/>
      <c r="GF31" s="3"/>
      <c r="GG31" s="3"/>
      <c r="GH31" s="3"/>
      <c r="GI31" s="132"/>
    </row>
    <row r="32" spans="1:191" ht="15" customHeight="1">
      <c r="A32" s="6"/>
      <c r="B32" s="240" t="s">
        <v>50</v>
      </c>
      <c r="C32" s="25"/>
      <c r="D32" s="25"/>
      <c r="E32" s="25"/>
      <c r="F32" s="25"/>
      <c r="G32" s="25"/>
      <c r="H32" s="25"/>
      <c r="I32" s="25"/>
      <c r="J32" s="25"/>
      <c r="K32" s="71"/>
      <c r="L32" s="71"/>
      <c r="M32" s="71"/>
      <c r="N32" s="71"/>
      <c r="O32" s="71"/>
      <c r="P32" s="25"/>
      <c r="Q32" s="25"/>
      <c r="R32" s="25"/>
      <c r="S32" s="25"/>
      <c r="T32" s="25"/>
      <c r="U32" s="25"/>
      <c r="V32" s="71">
        <v>7</v>
      </c>
      <c r="W32" s="71">
        <v>7</v>
      </c>
      <c r="X32" s="71">
        <v>7</v>
      </c>
      <c r="Y32" s="71">
        <v>7</v>
      </c>
      <c r="Z32" s="71">
        <v>7</v>
      </c>
      <c r="AA32" s="71">
        <v>7</v>
      </c>
      <c r="AB32" s="71">
        <v>7</v>
      </c>
      <c r="AC32" s="71">
        <v>7</v>
      </c>
      <c r="AD32" s="71">
        <v>7</v>
      </c>
      <c r="AE32" s="71">
        <v>7</v>
      </c>
      <c r="AF32" s="71">
        <v>7</v>
      </c>
      <c r="AG32" s="71">
        <v>7</v>
      </c>
      <c r="AH32" s="25">
        <v>12</v>
      </c>
      <c r="AI32" s="25">
        <v>12</v>
      </c>
      <c r="AJ32" s="25">
        <v>12</v>
      </c>
      <c r="AK32" s="25">
        <v>12</v>
      </c>
      <c r="AL32" s="25">
        <v>16</v>
      </c>
      <c r="AM32" s="25">
        <v>16</v>
      </c>
      <c r="AN32" s="25">
        <v>20</v>
      </c>
      <c r="AO32" s="25">
        <v>20</v>
      </c>
      <c r="AP32" s="25">
        <v>20</v>
      </c>
      <c r="AQ32" s="25">
        <v>20</v>
      </c>
      <c r="AR32" s="25">
        <v>20</v>
      </c>
      <c r="AS32" s="25">
        <v>20</v>
      </c>
      <c r="AT32" s="25">
        <v>20</v>
      </c>
      <c r="AU32" s="25">
        <v>20</v>
      </c>
      <c r="AV32" s="25">
        <v>20</v>
      </c>
      <c r="AW32" s="62">
        <v>20</v>
      </c>
      <c r="AX32" s="25">
        <v>20</v>
      </c>
      <c r="AY32" s="25">
        <v>20</v>
      </c>
      <c r="AZ32" s="25">
        <v>20</v>
      </c>
      <c r="BA32" s="150">
        <v>19</v>
      </c>
      <c r="BB32" s="150">
        <v>17</v>
      </c>
      <c r="BC32" s="150">
        <v>17</v>
      </c>
      <c r="BD32" s="25">
        <v>17</v>
      </c>
      <c r="BE32" s="25">
        <v>17</v>
      </c>
      <c r="BF32" s="25">
        <v>16</v>
      </c>
      <c r="BG32" s="25">
        <v>16</v>
      </c>
      <c r="BH32" s="25">
        <v>16</v>
      </c>
      <c r="BI32" s="25">
        <v>16</v>
      </c>
      <c r="BJ32" s="25">
        <v>15</v>
      </c>
      <c r="BK32" s="25">
        <v>15</v>
      </c>
      <c r="BL32" s="25">
        <v>14</v>
      </c>
      <c r="BM32" s="25">
        <v>14</v>
      </c>
      <c r="BN32" s="25"/>
      <c r="BO32" s="25"/>
      <c r="BP32" s="25"/>
      <c r="BQ32" s="25"/>
      <c r="BR32" s="25"/>
      <c r="BS32" s="25"/>
      <c r="BT32" s="161"/>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77"/>
      <c r="DH32" s="77"/>
      <c r="DI32" s="77"/>
      <c r="DJ32" s="77"/>
      <c r="DK32" s="77"/>
      <c r="DL32" s="77"/>
      <c r="DM32" s="77"/>
      <c r="DN32" s="77"/>
      <c r="DO32" s="77"/>
      <c r="DP32" s="77"/>
      <c r="DQ32" s="77"/>
      <c r="DR32" s="77"/>
      <c r="DS32" s="77"/>
      <c r="DT32" s="267"/>
      <c r="DU32" s="77"/>
      <c r="DV32" s="77"/>
      <c r="DW32" s="77"/>
      <c r="DX32" s="77"/>
      <c r="DY32" s="77"/>
      <c r="DZ32" s="77"/>
      <c r="EA32" s="77"/>
      <c r="EB32" s="77"/>
      <c r="EC32" s="77"/>
      <c r="ED32" s="77"/>
      <c r="EE32" s="77"/>
      <c r="EF32" s="77"/>
      <c r="EG32" s="77"/>
      <c r="EH32" s="77"/>
      <c r="EI32" s="267"/>
      <c r="EJ32" s="267"/>
      <c r="EK32" s="79"/>
      <c r="EL32" s="79"/>
      <c r="EM32" s="79"/>
      <c r="EN32" s="79"/>
      <c r="EO32" s="79"/>
      <c r="EP32" s="79"/>
      <c r="EQ32" s="79"/>
      <c r="ER32" s="79"/>
      <c r="ES32" s="79"/>
      <c r="ET32" s="79"/>
      <c r="EU32" s="79"/>
      <c r="EV32" s="79"/>
      <c r="EW32" s="25"/>
      <c r="EX32" s="25"/>
      <c r="EY32" s="25">
        <v>1.25</v>
      </c>
      <c r="EZ32" s="25">
        <v>1.25</v>
      </c>
      <c r="FA32" s="25">
        <v>1.25</v>
      </c>
      <c r="FB32" s="25">
        <v>1.25</v>
      </c>
      <c r="FC32" s="155">
        <v>1</v>
      </c>
      <c r="FD32" s="309">
        <v>1</v>
      </c>
      <c r="FE32" s="115">
        <v>1</v>
      </c>
      <c r="FF32" s="115">
        <v>1</v>
      </c>
      <c r="FG32" s="115">
        <v>1</v>
      </c>
      <c r="FH32" s="115">
        <v>1</v>
      </c>
      <c r="FI32" s="115">
        <v>1</v>
      </c>
      <c r="FJ32" s="115">
        <v>1</v>
      </c>
      <c r="FK32" s="115">
        <v>1</v>
      </c>
      <c r="FL32" s="115">
        <v>1</v>
      </c>
      <c r="FM32" s="115">
        <v>1</v>
      </c>
      <c r="FN32" s="115">
        <v>1</v>
      </c>
      <c r="FO32" s="115">
        <v>1</v>
      </c>
      <c r="FP32" s="309">
        <v>1</v>
      </c>
      <c r="FQ32" s="115">
        <v>1</v>
      </c>
      <c r="FR32" s="115">
        <v>1</v>
      </c>
      <c r="FS32" s="115">
        <v>1</v>
      </c>
      <c r="FT32" s="115">
        <v>1</v>
      </c>
      <c r="FU32" s="115">
        <v>1</v>
      </c>
      <c r="FV32" s="115">
        <v>1</v>
      </c>
      <c r="FW32" s="115">
        <v>1</v>
      </c>
      <c r="FX32" s="115">
        <v>1.5</v>
      </c>
      <c r="FY32" s="115">
        <v>1.5</v>
      </c>
      <c r="FZ32" s="115">
        <v>1.5</v>
      </c>
      <c r="GA32" s="408">
        <v>1.5</v>
      </c>
      <c r="GB32" s="309">
        <v>1.5</v>
      </c>
      <c r="GC32" s="115">
        <v>1.5</v>
      </c>
      <c r="GD32" s="408">
        <v>1.5</v>
      </c>
      <c r="GE32" s="94">
        <v>1.5</v>
      </c>
      <c r="GF32" s="94">
        <v>1.5</v>
      </c>
      <c r="GG32" s="94">
        <v>1.5</v>
      </c>
      <c r="GH32" s="94">
        <v>1.5</v>
      </c>
      <c r="GI32" s="437">
        <v>1.5</v>
      </c>
    </row>
    <row r="33" spans="1:191" ht="15" customHeight="1">
      <c r="A33" s="6"/>
      <c r="B33" s="240" t="s">
        <v>51</v>
      </c>
      <c r="C33" s="25"/>
      <c r="D33" s="25"/>
      <c r="E33" s="25"/>
      <c r="F33" s="25"/>
      <c r="G33" s="25"/>
      <c r="H33" s="25"/>
      <c r="I33" s="25"/>
      <c r="J33" s="25"/>
      <c r="K33" s="70">
        <v>2</v>
      </c>
      <c r="L33" s="70">
        <v>2</v>
      </c>
      <c r="M33" s="70">
        <v>2</v>
      </c>
      <c r="N33" s="70">
        <v>2</v>
      </c>
      <c r="O33" s="70">
        <v>2</v>
      </c>
      <c r="P33" s="70">
        <v>2</v>
      </c>
      <c r="Q33" s="70">
        <v>2</v>
      </c>
      <c r="R33" s="70">
        <v>2</v>
      </c>
      <c r="S33" s="70">
        <v>2</v>
      </c>
      <c r="T33" s="70">
        <v>2</v>
      </c>
      <c r="U33" s="71">
        <v>2.5</v>
      </c>
      <c r="V33" s="71">
        <v>2.5</v>
      </c>
      <c r="W33" s="71">
        <v>2.5</v>
      </c>
      <c r="X33" s="71">
        <v>2.5</v>
      </c>
      <c r="Y33" s="71">
        <v>2.5</v>
      </c>
      <c r="Z33" s="71">
        <v>2.5</v>
      </c>
      <c r="AA33" s="71">
        <v>2.5</v>
      </c>
      <c r="AB33" s="71">
        <v>2.5</v>
      </c>
      <c r="AC33" s="71">
        <v>2.5</v>
      </c>
      <c r="AD33" s="71">
        <v>2.5</v>
      </c>
      <c r="AE33" s="71">
        <v>2.5</v>
      </c>
      <c r="AF33" s="71">
        <v>2.5</v>
      </c>
      <c r="AG33" s="71">
        <v>2.5</v>
      </c>
      <c r="AH33" s="25">
        <v>2.5</v>
      </c>
      <c r="AI33" s="25">
        <v>2.75</v>
      </c>
      <c r="AJ33" s="25">
        <v>2.75</v>
      </c>
      <c r="AK33" s="25">
        <v>2.75</v>
      </c>
      <c r="AL33" s="25">
        <v>2.75</v>
      </c>
      <c r="AM33" s="25">
        <v>2.75</v>
      </c>
      <c r="AN33" s="25">
        <v>2.75</v>
      </c>
      <c r="AO33" s="25">
        <v>2.75</v>
      </c>
      <c r="AP33" s="25">
        <v>2.75</v>
      </c>
      <c r="AQ33" s="25">
        <v>2.75</v>
      </c>
      <c r="AR33" s="25">
        <v>2.75</v>
      </c>
      <c r="AS33" s="25">
        <v>2.75</v>
      </c>
      <c r="AT33" s="25">
        <v>2.75</v>
      </c>
      <c r="AU33" s="25">
        <v>2.75</v>
      </c>
      <c r="AV33" s="25">
        <v>2.75</v>
      </c>
      <c r="AW33" s="62"/>
      <c r="AX33" s="25"/>
      <c r="AY33" s="25"/>
      <c r="AZ33" s="25"/>
      <c r="BA33" s="150"/>
      <c r="BB33" s="150"/>
      <c r="BC33" s="150"/>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161" t="s">
        <v>114</v>
      </c>
      <c r="DR33" s="161"/>
      <c r="DS33" s="161"/>
      <c r="DT33" s="173"/>
      <c r="DU33" s="161"/>
      <c r="DV33" s="161"/>
      <c r="DW33" s="161"/>
      <c r="DX33" s="161"/>
      <c r="DY33" s="161"/>
      <c r="DZ33" s="161"/>
      <c r="EA33" s="161"/>
      <c r="EB33" s="161"/>
      <c r="EC33" s="161"/>
      <c r="ED33" s="161"/>
      <c r="EE33" s="161"/>
      <c r="EF33" s="161"/>
      <c r="EG33" s="161"/>
      <c r="EH33" s="161"/>
      <c r="EI33" s="173"/>
      <c r="EJ33" s="173"/>
      <c r="EK33" s="173"/>
      <c r="EL33" s="173"/>
      <c r="EM33" s="173"/>
      <c r="EN33" s="173"/>
      <c r="EO33" s="173"/>
      <c r="EP33" s="173"/>
      <c r="EQ33" s="173"/>
      <c r="ER33" s="173"/>
      <c r="ES33" s="173"/>
      <c r="ET33" s="173"/>
      <c r="EU33" s="173"/>
      <c r="EV33" s="173"/>
      <c r="EW33" s="25"/>
      <c r="EX33" s="25"/>
      <c r="EY33" s="25"/>
      <c r="EZ33" s="25"/>
      <c r="FA33" s="25"/>
      <c r="FB33" s="25"/>
      <c r="FC33" s="25"/>
      <c r="FD33" s="117"/>
      <c r="FP33" s="117"/>
      <c r="FU33" s="376"/>
      <c r="FV33" s="376"/>
      <c r="FW33" s="376"/>
      <c r="FX33" s="376"/>
      <c r="FY33" s="390"/>
      <c r="FZ33" s="390"/>
      <c r="GA33" s="406"/>
      <c r="GB33" s="426"/>
      <c r="GC33" s="390"/>
      <c r="GD33" s="406"/>
      <c r="GE33" s="3"/>
      <c r="GF33" s="3"/>
      <c r="GG33" s="3"/>
      <c r="GH33" s="3"/>
      <c r="GI33" s="132"/>
    </row>
    <row r="34" spans="1:191" ht="15" customHeight="1">
      <c r="A34" s="6"/>
      <c r="B34" s="240" t="s">
        <v>83</v>
      </c>
      <c r="C34" s="25"/>
      <c r="D34" s="25"/>
      <c r="E34" s="25"/>
      <c r="F34" s="25"/>
      <c r="G34" s="25"/>
      <c r="H34" s="25"/>
      <c r="I34" s="25"/>
      <c r="J34" s="25"/>
      <c r="K34" s="70"/>
      <c r="L34" s="70"/>
      <c r="M34" s="70"/>
      <c r="N34" s="70"/>
      <c r="O34" s="70"/>
      <c r="P34" s="70"/>
      <c r="Q34" s="70"/>
      <c r="R34" s="70"/>
      <c r="S34" s="70"/>
      <c r="T34" s="70"/>
      <c r="U34" s="71"/>
      <c r="V34" s="71"/>
      <c r="W34" s="71"/>
      <c r="X34" s="71"/>
      <c r="Y34" s="71"/>
      <c r="Z34" s="71"/>
      <c r="AA34" s="71"/>
      <c r="AB34" s="71"/>
      <c r="AC34" s="71"/>
      <c r="AD34" s="71"/>
      <c r="AE34" s="71"/>
      <c r="AF34" s="71"/>
      <c r="AG34" s="71"/>
      <c r="AH34" s="25"/>
      <c r="AI34" s="25"/>
      <c r="AJ34" s="25"/>
      <c r="AK34" s="25"/>
      <c r="AL34" s="25"/>
      <c r="AM34" s="25"/>
      <c r="AN34" s="25"/>
      <c r="AO34" s="25"/>
      <c r="AP34" s="25"/>
      <c r="AQ34" s="25"/>
      <c r="AR34" s="25"/>
      <c r="AS34" s="25"/>
      <c r="AT34" s="25"/>
      <c r="AU34" s="25"/>
      <c r="AV34" s="25"/>
      <c r="AW34" s="62">
        <v>2.75</v>
      </c>
      <c r="AX34" s="25">
        <v>2.75</v>
      </c>
      <c r="AY34" s="25">
        <v>2.75</v>
      </c>
      <c r="AZ34" s="25">
        <v>2.75</v>
      </c>
      <c r="BA34" s="75">
        <v>2.25</v>
      </c>
      <c r="BB34" s="75">
        <v>2.25</v>
      </c>
      <c r="BC34" s="75">
        <v>2.25</v>
      </c>
      <c r="BD34" s="64">
        <v>2</v>
      </c>
      <c r="BE34" s="64">
        <v>2</v>
      </c>
      <c r="BF34" s="64">
        <v>2</v>
      </c>
      <c r="BG34" s="64">
        <v>2</v>
      </c>
      <c r="BH34" s="64">
        <v>2</v>
      </c>
      <c r="BI34" s="64">
        <v>2</v>
      </c>
      <c r="BJ34" s="64">
        <v>2</v>
      </c>
      <c r="BK34" s="64">
        <v>2</v>
      </c>
      <c r="BL34" s="64">
        <v>1</v>
      </c>
      <c r="BM34" s="64">
        <v>1</v>
      </c>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62"/>
      <c r="DU34" s="25"/>
      <c r="DV34" s="25"/>
      <c r="DW34" s="25"/>
      <c r="DX34" s="25"/>
      <c r="DY34" s="25"/>
      <c r="DZ34" s="25"/>
      <c r="EA34" s="25"/>
      <c r="EB34" s="25"/>
      <c r="EC34" s="25"/>
      <c r="ED34" s="25"/>
      <c r="EE34" s="25"/>
      <c r="EF34" s="25"/>
      <c r="EG34" s="25"/>
      <c r="EH34" s="25"/>
      <c r="EI34" s="62"/>
      <c r="EJ34" s="62"/>
      <c r="EK34" s="62"/>
      <c r="EL34" s="62"/>
      <c r="EM34" s="62"/>
      <c r="EN34" s="62"/>
      <c r="EO34" s="62"/>
      <c r="EP34" s="62"/>
      <c r="EQ34" s="62"/>
      <c r="ER34" s="62"/>
      <c r="ES34" s="62"/>
      <c r="ET34" s="62"/>
      <c r="EU34" s="62"/>
      <c r="EV34" s="62"/>
      <c r="EW34" s="62"/>
      <c r="EX34" s="62"/>
      <c r="EY34" s="62"/>
      <c r="EZ34" s="62"/>
      <c r="FA34" s="62"/>
      <c r="FB34" s="62"/>
      <c r="FC34" s="62"/>
      <c r="FD34" s="93"/>
      <c r="FE34" s="49"/>
      <c r="FF34" s="49"/>
      <c r="FG34" s="49"/>
      <c r="FH34" s="49"/>
      <c r="FI34" s="49"/>
      <c r="FJ34" s="49"/>
      <c r="FK34" s="49"/>
      <c r="FL34" s="49"/>
      <c r="FM34" s="49"/>
      <c r="FN34" s="49"/>
      <c r="FO34" s="49"/>
      <c r="FP34" s="93"/>
      <c r="FQ34" s="49"/>
      <c r="FR34" s="49"/>
      <c r="FS34" s="49"/>
      <c r="FT34" s="49"/>
      <c r="FU34" s="49"/>
      <c r="FV34" s="49"/>
      <c r="FW34" s="49"/>
      <c r="FX34" s="49"/>
      <c r="FY34" s="384"/>
      <c r="FZ34" s="384"/>
      <c r="GA34" s="409"/>
      <c r="GB34" s="428"/>
      <c r="GC34" s="384"/>
      <c r="GD34" s="409"/>
      <c r="GE34" s="3"/>
      <c r="GF34" s="3"/>
      <c r="GG34" s="3"/>
      <c r="GH34" s="3"/>
      <c r="GI34" s="132"/>
    </row>
    <row r="35" spans="1:191" ht="15" customHeight="1">
      <c r="A35" s="6"/>
      <c r="B35" s="240" t="s">
        <v>52</v>
      </c>
      <c r="C35" s="25"/>
      <c r="D35" s="25"/>
      <c r="E35" s="25"/>
      <c r="F35" s="25"/>
      <c r="G35" s="25"/>
      <c r="H35" s="25"/>
      <c r="I35" s="25"/>
      <c r="J35" s="25"/>
      <c r="K35" s="70"/>
      <c r="L35" s="70"/>
      <c r="M35" s="70"/>
      <c r="N35" s="70"/>
      <c r="O35" s="70"/>
      <c r="P35" s="70"/>
      <c r="Q35" s="70"/>
      <c r="R35" s="70"/>
      <c r="S35" s="70"/>
      <c r="T35" s="70"/>
      <c r="U35" s="71"/>
      <c r="V35" s="71"/>
      <c r="W35" s="71">
        <v>3</v>
      </c>
      <c r="X35" s="71">
        <v>3</v>
      </c>
      <c r="Y35" s="71">
        <v>3</v>
      </c>
      <c r="Z35" s="71">
        <v>3</v>
      </c>
      <c r="AA35" s="72">
        <v>3</v>
      </c>
      <c r="AB35" s="71">
        <v>3</v>
      </c>
      <c r="AC35" s="71">
        <v>3</v>
      </c>
      <c r="AD35" s="71">
        <v>3</v>
      </c>
      <c r="AE35" s="71">
        <v>3</v>
      </c>
      <c r="AF35" s="71">
        <v>3</v>
      </c>
      <c r="AG35" s="71">
        <v>3</v>
      </c>
      <c r="AH35" s="25">
        <v>3</v>
      </c>
      <c r="AI35" s="25">
        <v>3.25</v>
      </c>
      <c r="AJ35" s="25">
        <v>3.25</v>
      </c>
      <c r="AK35" s="25">
        <v>3.25</v>
      </c>
      <c r="AL35" s="25">
        <v>3.25</v>
      </c>
      <c r="AM35" s="25">
        <v>3.25</v>
      </c>
      <c r="AN35" s="25">
        <v>3.25</v>
      </c>
      <c r="AO35" s="25">
        <v>3.25</v>
      </c>
      <c r="AP35" s="25">
        <v>3.25</v>
      </c>
      <c r="AQ35" s="25">
        <v>3.25</v>
      </c>
      <c r="AR35" s="25">
        <v>3.25</v>
      </c>
      <c r="AS35" s="25">
        <v>3.25</v>
      </c>
      <c r="AT35" s="25">
        <v>3.25</v>
      </c>
      <c r="AU35" s="25">
        <v>3.25</v>
      </c>
      <c r="AV35" s="25">
        <v>3.25</v>
      </c>
      <c r="AW35" s="62">
        <v>3.25</v>
      </c>
      <c r="AX35" s="25">
        <v>3.25</v>
      </c>
      <c r="AY35" s="25">
        <v>3.25</v>
      </c>
      <c r="AZ35" s="25">
        <v>3.25</v>
      </c>
      <c r="BA35" s="75">
        <v>2.75</v>
      </c>
      <c r="BB35" s="75">
        <v>2.75</v>
      </c>
      <c r="BC35" s="75">
        <v>2.75</v>
      </c>
      <c r="BD35" s="25">
        <v>2.25</v>
      </c>
      <c r="BE35" s="25">
        <v>2.25</v>
      </c>
      <c r="BF35" s="25">
        <v>2.25</v>
      </c>
      <c r="BG35" s="25">
        <v>2.25</v>
      </c>
      <c r="BH35" s="25">
        <v>2.25</v>
      </c>
      <c r="BI35" s="25">
        <v>2.25</v>
      </c>
      <c r="BJ35" s="25">
        <v>2.25</v>
      </c>
      <c r="BK35" s="25">
        <v>2.25</v>
      </c>
      <c r="BL35" s="25">
        <v>1.25</v>
      </c>
      <c r="BM35" s="25">
        <v>1.25</v>
      </c>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62"/>
      <c r="DU35" s="25"/>
      <c r="DV35" s="25"/>
      <c r="DW35" s="25"/>
      <c r="DX35" s="25"/>
      <c r="DY35" s="25"/>
      <c r="DZ35" s="25"/>
      <c r="EA35" s="25"/>
      <c r="EB35" s="25"/>
      <c r="EC35" s="25"/>
      <c r="ED35" s="25"/>
      <c r="EE35" s="25"/>
      <c r="EF35" s="25"/>
      <c r="EG35" s="25"/>
      <c r="EH35" s="25"/>
      <c r="EI35" s="62"/>
      <c r="EJ35" s="62"/>
      <c r="EK35" s="62"/>
      <c r="EL35" s="62"/>
      <c r="EM35" s="62"/>
      <c r="EN35" s="62"/>
      <c r="EO35" s="62"/>
      <c r="EP35" s="62"/>
      <c r="EQ35" s="62"/>
      <c r="ER35" s="62"/>
      <c r="ES35" s="62"/>
      <c r="ET35" s="62"/>
      <c r="EU35" s="62"/>
      <c r="EV35" s="62"/>
      <c r="EW35" s="62"/>
      <c r="EX35" s="62"/>
      <c r="EY35" s="62"/>
      <c r="EZ35" s="62"/>
      <c r="FA35" s="62"/>
      <c r="FB35" s="62"/>
      <c r="FC35" s="62"/>
      <c r="FD35" s="93"/>
      <c r="FE35" s="49"/>
      <c r="FF35" s="49"/>
      <c r="FG35" s="49"/>
      <c r="FH35" s="49"/>
      <c r="FI35" s="49"/>
      <c r="FJ35" s="49"/>
      <c r="FK35" s="49"/>
      <c r="FL35" s="49"/>
      <c r="FM35" s="49"/>
      <c r="FN35" s="49"/>
      <c r="FO35" s="49"/>
      <c r="FP35" s="93"/>
      <c r="FQ35" s="49"/>
      <c r="FR35" s="49"/>
      <c r="FS35" s="49"/>
      <c r="FT35" s="49"/>
      <c r="FU35" s="49"/>
      <c r="FV35" s="49"/>
      <c r="FW35" s="49"/>
      <c r="FX35" s="49"/>
      <c r="FY35" s="384"/>
      <c r="FZ35" s="384"/>
      <c r="GA35" s="409"/>
      <c r="GB35" s="428"/>
      <c r="GC35" s="384"/>
      <c r="GD35" s="409"/>
      <c r="GE35" s="3"/>
      <c r="GF35" s="3"/>
      <c r="GG35" s="3"/>
      <c r="GH35" s="3"/>
      <c r="GI35" s="132"/>
    </row>
    <row r="36" spans="1:191" ht="15" customHeight="1">
      <c r="A36" s="6"/>
      <c r="B36" s="240" t="s">
        <v>53</v>
      </c>
      <c r="C36" s="25"/>
      <c r="D36" s="25"/>
      <c r="E36" s="25"/>
      <c r="F36" s="25"/>
      <c r="G36" s="25"/>
      <c r="H36" s="25"/>
      <c r="I36" s="25"/>
      <c r="J36" s="25"/>
      <c r="K36" s="70"/>
      <c r="L36" s="70"/>
      <c r="M36" s="70"/>
      <c r="N36" s="70"/>
      <c r="O36" s="70"/>
      <c r="P36" s="70"/>
      <c r="Q36" s="70"/>
      <c r="R36" s="70"/>
      <c r="S36" s="70"/>
      <c r="T36" s="70"/>
      <c r="U36" s="71"/>
      <c r="V36" s="71"/>
      <c r="W36" s="71">
        <v>3.25</v>
      </c>
      <c r="X36" s="71">
        <v>3.25</v>
      </c>
      <c r="Y36" s="71">
        <v>3.25</v>
      </c>
      <c r="Z36" s="71">
        <v>3.25</v>
      </c>
      <c r="AA36" s="71">
        <v>3.25</v>
      </c>
      <c r="AB36" s="71">
        <v>3.25</v>
      </c>
      <c r="AC36" s="71">
        <v>3.25</v>
      </c>
      <c r="AD36" s="71">
        <v>3.25</v>
      </c>
      <c r="AE36" s="71">
        <v>3.25</v>
      </c>
      <c r="AF36" s="71">
        <v>3.25</v>
      </c>
      <c r="AG36" s="71">
        <v>3.25</v>
      </c>
      <c r="AH36" s="25">
        <v>3.25</v>
      </c>
      <c r="AI36" s="25">
        <v>3.5</v>
      </c>
      <c r="AJ36" s="25">
        <v>3.5</v>
      </c>
      <c r="AK36" s="25">
        <v>3.5</v>
      </c>
      <c r="AL36" s="25">
        <v>3.5</v>
      </c>
      <c r="AM36" s="25">
        <v>3.5</v>
      </c>
      <c r="AN36" s="25">
        <v>3.5</v>
      </c>
      <c r="AO36" s="25">
        <v>3.5</v>
      </c>
      <c r="AP36" s="25">
        <v>3.5</v>
      </c>
      <c r="AQ36" s="25">
        <v>3.5</v>
      </c>
      <c r="AR36" s="25">
        <v>3.5</v>
      </c>
      <c r="AS36" s="25">
        <v>3.5</v>
      </c>
      <c r="AT36" s="25">
        <v>3.5</v>
      </c>
      <c r="AU36" s="25">
        <v>3.5</v>
      </c>
      <c r="AV36" s="25">
        <v>3.5</v>
      </c>
      <c r="AW36" s="62">
        <v>3.5</v>
      </c>
      <c r="AX36" s="25">
        <v>3.5</v>
      </c>
      <c r="AY36" s="25">
        <v>3.5</v>
      </c>
      <c r="AZ36" s="25">
        <v>3.5</v>
      </c>
      <c r="BA36" s="74">
        <v>3</v>
      </c>
      <c r="BB36" s="74">
        <v>3</v>
      </c>
      <c r="BC36" s="74">
        <v>3</v>
      </c>
      <c r="BD36" s="25">
        <v>2.5</v>
      </c>
      <c r="BE36" s="25">
        <v>2.5</v>
      </c>
      <c r="BF36" s="25">
        <v>2.5</v>
      </c>
      <c r="BG36" s="25">
        <v>2.5</v>
      </c>
      <c r="BH36" s="25">
        <v>2.5</v>
      </c>
      <c r="BI36" s="25">
        <v>2.5</v>
      </c>
      <c r="BJ36" s="25">
        <v>2.5</v>
      </c>
      <c r="BK36" s="25">
        <v>2.5</v>
      </c>
      <c r="BL36" s="25">
        <v>1.5</v>
      </c>
      <c r="BM36" s="25">
        <v>1.5</v>
      </c>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62"/>
      <c r="DU36" s="25"/>
      <c r="DV36" s="25"/>
      <c r="DW36" s="25"/>
      <c r="DX36" s="25"/>
      <c r="DY36" s="25"/>
      <c r="DZ36" s="25"/>
      <c r="EA36" s="25"/>
      <c r="EB36" s="25"/>
      <c r="EC36" s="25"/>
      <c r="ED36" s="25"/>
      <c r="EE36" s="25"/>
      <c r="EF36" s="25"/>
      <c r="EG36" s="25"/>
      <c r="EH36" s="25"/>
      <c r="EI36" s="62"/>
      <c r="EJ36" s="62"/>
      <c r="EK36" s="62"/>
      <c r="EL36" s="62"/>
      <c r="EM36" s="62"/>
      <c r="EN36" s="62"/>
      <c r="EO36" s="62"/>
      <c r="EP36" s="62"/>
      <c r="EQ36" s="62"/>
      <c r="ER36" s="62"/>
      <c r="ES36" s="62"/>
      <c r="ET36" s="62"/>
      <c r="EU36" s="62"/>
      <c r="EV36" s="62"/>
      <c r="EW36" s="62"/>
      <c r="EX36" s="62"/>
      <c r="EY36" s="62"/>
      <c r="EZ36" s="62"/>
      <c r="FA36" s="62"/>
      <c r="FB36" s="62"/>
      <c r="FC36" s="62"/>
      <c r="FD36" s="93"/>
      <c r="FE36" s="49"/>
      <c r="FF36" s="49"/>
      <c r="FG36" s="49"/>
      <c r="FH36" s="49"/>
      <c r="FI36" s="49"/>
      <c r="FJ36" s="49"/>
      <c r="FK36" s="49"/>
      <c r="FL36" s="49"/>
      <c r="FM36" s="49"/>
      <c r="FN36" s="49"/>
      <c r="FO36" s="49"/>
      <c r="FP36" s="93"/>
      <c r="FQ36" s="49"/>
      <c r="FR36" s="49"/>
      <c r="FS36" s="49"/>
      <c r="FT36" s="49"/>
      <c r="FU36" s="49"/>
      <c r="FV36" s="49"/>
      <c r="FW36" s="49"/>
      <c r="FX36" s="49"/>
      <c r="FY36" s="384"/>
      <c r="FZ36" s="384"/>
      <c r="GA36" s="409"/>
      <c r="GB36" s="428"/>
      <c r="GC36" s="358">
        <v>1.25</v>
      </c>
      <c r="GD36" s="440">
        <v>1.25</v>
      </c>
      <c r="GE36" s="3">
        <v>1.25</v>
      </c>
      <c r="GF36" s="3">
        <v>1.25</v>
      </c>
      <c r="GG36" s="3">
        <v>1.25</v>
      </c>
      <c r="GH36" s="3">
        <v>1.25</v>
      </c>
      <c r="GI36" s="132">
        <v>1.25</v>
      </c>
    </row>
    <row r="37" spans="1:191" ht="15" customHeight="1">
      <c r="A37" s="6"/>
      <c r="B37" s="241" t="s">
        <v>67</v>
      </c>
      <c r="C37" s="25"/>
      <c r="D37" s="25"/>
      <c r="E37" s="25"/>
      <c r="F37" s="25"/>
      <c r="G37" s="25"/>
      <c r="H37" s="25"/>
      <c r="I37" s="25"/>
      <c r="J37" s="25"/>
      <c r="K37" s="70"/>
      <c r="L37" s="70"/>
      <c r="M37" s="70"/>
      <c r="N37" s="70"/>
      <c r="O37" s="70"/>
      <c r="P37" s="70"/>
      <c r="Q37" s="70"/>
      <c r="R37" s="70"/>
      <c r="S37" s="70"/>
      <c r="T37" s="70"/>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3"/>
      <c r="AS37" s="73"/>
      <c r="AT37" s="73"/>
      <c r="AU37" s="73"/>
      <c r="AV37" s="73"/>
      <c r="AW37" s="83"/>
      <c r="AX37" s="73"/>
      <c r="AY37" s="73"/>
      <c r="AZ37" s="73"/>
      <c r="BA37" s="73"/>
      <c r="BB37" s="73"/>
      <c r="BC37" s="73"/>
      <c r="BD37" s="73"/>
      <c r="BE37" s="73"/>
      <c r="BF37" s="73"/>
      <c r="BG37" s="73"/>
      <c r="BH37" s="73"/>
      <c r="BI37" s="73"/>
      <c r="BJ37" s="73"/>
      <c r="BK37" s="73"/>
      <c r="BL37" s="73"/>
      <c r="BM37" s="73"/>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62"/>
      <c r="DU37" s="25"/>
      <c r="DV37" s="25"/>
      <c r="DW37" s="25"/>
      <c r="DX37" s="25"/>
      <c r="DY37" s="25"/>
      <c r="DZ37" s="25"/>
      <c r="EA37" s="25"/>
      <c r="EB37" s="25"/>
      <c r="EC37" s="25"/>
      <c r="ED37" s="25"/>
      <c r="EE37" s="25"/>
      <c r="EF37" s="25"/>
      <c r="EG37" s="25"/>
      <c r="EH37" s="25"/>
      <c r="EI37" s="62"/>
      <c r="EJ37" s="62"/>
      <c r="EK37" s="62"/>
      <c r="EL37" s="62"/>
      <c r="EM37" s="62"/>
      <c r="EN37" s="62"/>
      <c r="EO37" s="62"/>
      <c r="EP37" s="62"/>
      <c r="EQ37" s="62"/>
      <c r="ER37" s="62"/>
      <c r="ES37" s="62"/>
      <c r="ET37" s="62"/>
      <c r="EU37" s="62"/>
      <c r="EV37" s="62"/>
      <c r="EW37" s="62"/>
      <c r="EX37" s="62"/>
      <c r="EY37" s="62"/>
      <c r="EZ37" s="62"/>
      <c r="FA37" s="62"/>
      <c r="FB37" s="62"/>
      <c r="FC37" s="62"/>
      <c r="FD37" s="93"/>
      <c r="FE37" s="49"/>
      <c r="FF37" s="49"/>
      <c r="FG37" s="49"/>
      <c r="FH37" s="49"/>
      <c r="FI37" s="49"/>
      <c r="FJ37" s="49"/>
      <c r="FK37" s="49"/>
      <c r="FL37" s="49"/>
      <c r="FM37" s="49"/>
      <c r="FN37" s="49"/>
      <c r="FO37" s="49"/>
      <c r="FP37" s="93"/>
      <c r="FQ37" s="49"/>
      <c r="FR37" s="49"/>
      <c r="FS37" s="49"/>
      <c r="FT37" s="49"/>
      <c r="FU37" s="376"/>
      <c r="FV37" s="376"/>
      <c r="FW37" s="376"/>
      <c r="FX37" s="376"/>
      <c r="FY37" s="390"/>
      <c r="FZ37" s="390"/>
      <c r="GA37" s="406"/>
      <c r="GB37" s="426"/>
      <c r="GC37" s="390"/>
      <c r="GD37" s="406"/>
      <c r="GE37" s="3"/>
      <c r="GF37" s="3"/>
      <c r="GG37" s="3"/>
      <c r="GH37" s="3"/>
      <c r="GI37" s="132"/>
    </row>
    <row r="38" spans="1:191" ht="15" customHeight="1">
      <c r="A38" s="6"/>
      <c r="B38" s="242" t="s">
        <v>106</v>
      </c>
      <c r="C38" s="25"/>
      <c r="D38" s="25"/>
      <c r="E38" s="25"/>
      <c r="F38" s="25"/>
      <c r="G38" s="25"/>
      <c r="H38" s="25"/>
      <c r="I38" s="25"/>
      <c r="J38" s="25"/>
      <c r="K38" s="70"/>
      <c r="L38" s="70"/>
      <c r="M38" s="70"/>
      <c r="N38" s="70"/>
      <c r="O38" s="70"/>
      <c r="P38" s="70"/>
      <c r="Q38" s="70"/>
      <c r="R38" s="70"/>
      <c r="S38" s="70"/>
      <c r="T38" s="70"/>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3"/>
      <c r="AS38" s="73"/>
      <c r="AT38" s="73"/>
      <c r="AU38" s="73"/>
      <c r="AV38" s="73"/>
      <c r="AW38" s="83"/>
      <c r="AX38" s="73"/>
      <c r="AY38" s="73"/>
      <c r="AZ38" s="73"/>
      <c r="BA38" s="73"/>
      <c r="BB38" s="73"/>
      <c r="BC38" s="73"/>
      <c r="BD38" s="73"/>
      <c r="BE38" s="73"/>
      <c r="BF38" s="73"/>
      <c r="BG38" s="73"/>
      <c r="BH38" s="73"/>
      <c r="BI38" s="73"/>
      <c r="BJ38" s="73"/>
      <c r="BK38" s="73"/>
      <c r="BL38" s="73"/>
      <c r="BM38" s="73"/>
      <c r="BN38" s="25"/>
      <c r="BO38" s="25"/>
      <c r="BP38" s="25"/>
      <c r="BQ38" s="25"/>
      <c r="BR38" s="25"/>
      <c r="BS38" s="25"/>
      <c r="BT38" s="25"/>
      <c r="BU38" s="25"/>
      <c r="BV38" s="25"/>
      <c r="BW38" s="25"/>
      <c r="BX38" s="25"/>
      <c r="BY38" s="155">
        <v>5.5</v>
      </c>
      <c r="BZ38" s="25">
        <v>5.17</v>
      </c>
      <c r="CA38" s="25">
        <v>5.1</v>
      </c>
      <c r="CB38" s="64">
        <v>5.25</v>
      </c>
      <c r="CC38" s="25"/>
      <c r="CD38" s="25"/>
      <c r="CE38" s="25">
        <v>7</v>
      </c>
      <c r="CF38" s="25">
        <v>7.4</v>
      </c>
      <c r="CG38" s="25">
        <v>7.5</v>
      </c>
      <c r="CH38" s="25">
        <v>7.5</v>
      </c>
      <c r="CI38" s="25">
        <v>7.5</v>
      </c>
      <c r="CJ38" s="64">
        <v>6</v>
      </c>
      <c r="CK38" s="64">
        <v>7.5</v>
      </c>
      <c r="CL38" s="64">
        <v>7.5</v>
      </c>
      <c r="CM38" s="64">
        <v>7.5</v>
      </c>
      <c r="CN38" s="64">
        <v>7.5</v>
      </c>
      <c r="CO38" s="155">
        <v>7.45</v>
      </c>
      <c r="CP38" s="64">
        <v>7.5</v>
      </c>
      <c r="CQ38" s="64">
        <v>7.5</v>
      </c>
      <c r="CR38" s="64">
        <v>7.2</v>
      </c>
      <c r="CS38" s="155">
        <v>7.25</v>
      </c>
      <c r="CT38" s="155">
        <v>6.5</v>
      </c>
      <c r="CU38" s="155">
        <v>5.75</v>
      </c>
      <c r="CV38" s="155">
        <v>5.95</v>
      </c>
      <c r="CW38" s="155">
        <v>5.3</v>
      </c>
      <c r="CX38" s="155">
        <v>5.3</v>
      </c>
      <c r="CY38" s="155">
        <v>5</v>
      </c>
      <c r="CZ38" s="155">
        <v>5</v>
      </c>
      <c r="DA38" s="155">
        <v>4.75</v>
      </c>
      <c r="DB38" s="155">
        <v>5</v>
      </c>
      <c r="DC38" s="155">
        <v>5</v>
      </c>
      <c r="DD38" s="268">
        <v>4.95</v>
      </c>
      <c r="DE38" s="268">
        <v>4.75</v>
      </c>
      <c r="DF38" s="268">
        <v>5</v>
      </c>
      <c r="DG38" s="25">
        <v>5.15</v>
      </c>
      <c r="DH38" s="25">
        <v>5.3</v>
      </c>
      <c r="DI38" s="25">
        <v>6.95</v>
      </c>
      <c r="DJ38" s="25">
        <v>4.95</v>
      </c>
      <c r="DK38" s="155">
        <v>4.9</v>
      </c>
      <c r="DL38" s="155">
        <v>4.8</v>
      </c>
      <c r="DM38" s="155">
        <v>6.55</v>
      </c>
      <c r="DN38" s="155" t="s">
        <v>60</v>
      </c>
      <c r="DO38" s="155"/>
      <c r="DP38" s="155">
        <v>4.9</v>
      </c>
      <c r="DQ38" s="155">
        <v>4.9</v>
      </c>
      <c r="DR38" s="155">
        <v>4.95</v>
      </c>
      <c r="DS38" s="155">
        <v>4.9</v>
      </c>
      <c r="DT38" s="164">
        <v>4.7</v>
      </c>
      <c r="DU38" s="36">
        <v>5</v>
      </c>
      <c r="DV38" s="36">
        <v>5</v>
      </c>
      <c r="DW38" s="36">
        <v>4.85</v>
      </c>
      <c r="DX38" s="269">
        <v>5</v>
      </c>
      <c r="DY38" s="269">
        <v>5</v>
      </c>
      <c r="DZ38" s="269">
        <v>5</v>
      </c>
      <c r="EA38" s="269">
        <v>5</v>
      </c>
      <c r="EB38" s="269">
        <v>5</v>
      </c>
      <c r="EC38" s="269">
        <v>5</v>
      </c>
      <c r="ED38" s="269">
        <v>5</v>
      </c>
      <c r="EE38" s="269">
        <v>5</v>
      </c>
      <c r="EF38" s="158">
        <v>5</v>
      </c>
      <c r="EG38" s="158">
        <v>5</v>
      </c>
      <c r="EH38" s="158">
        <v>5</v>
      </c>
      <c r="EI38" s="159">
        <v>5</v>
      </c>
      <c r="EJ38" s="64">
        <v>5</v>
      </c>
      <c r="EK38" s="162">
        <v>4.95</v>
      </c>
      <c r="EL38" s="159">
        <v>4.8</v>
      </c>
      <c r="EM38" s="162">
        <v>4.65</v>
      </c>
      <c r="EN38" s="162">
        <v>4.5</v>
      </c>
      <c r="EO38" s="162">
        <v>4.25</v>
      </c>
      <c r="EP38" s="162">
        <v>4.35</v>
      </c>
      <c r="EQ38" s="162">
        <v>4.3</v>
      </c>
      <c r="ER38" s="162"/>
      <c r="ES38" s="162"/>
      <c r="ET38" s="162"/>
      <c r="EU38" s="162"/>
      <c r="EV38" s="162"/>
      <c r="EW38" s="162"/>
      <c r="EX38" s="162"/>
      <c r="EY38" s="162"/>
      <c r="EZ38" s="162"/>
      <c r="FA38" s="162"/>
      <c r="FB38" s="162"/>
      <c r="FC38" s="162"/>
      <c r="FD38" s="313"/>
      <c r="FE38" s="134">
        <v>1.5</v>
      </c>
      <c r="FF38" s="134"/>
      <c r="FG38" s="134"/>
      <c r="FH38" s="134"/>
      <c r="FI38" s="134"/>
      <c r="FJ38" s="134"/>
      <c r="FK38" s="134">
        <v>1.5</v>
      </c>
      <c r="FL38" s="134">
        <v>1.5</v>
      </c>
      <c r="FM38" s="134">
        <v>1.5</v>
      </c>
      <c r="FN38" s="134">
        <v>1.5</v>
      </c>
      <c r="FO38" s="134">
        <v>1.5</v>
      </c>
      <c r="FP38" s="93"/>
      <c r="FQ38" s="49"/>
      <c r="FR38" s="49"/>
      <c r="FS38" s="49"/>
      <c r="FT38" s="49"/>
      <c r="FU38" s="49"/>
      <c r="FV38" s="49"/>
      <c r="FW38" s="49"/>
      <c r="FX38" s="49"/>
      <c r="FY38" s="384"/>
      <c r="FZ38" s="384"/>
      <c r="GA38" s="409"/>
      <c r="GB38" s="428"/>
      <c r="GC38" s="384"/>
      <c r="GD38" s="409"/>
      <c r="GE38" s="3"/>
      <c r="GF38" s="3"/>
      <c r="GG38" s="3"/>
      <c r="GH38" s="3"/>
      <c r="GI38" s="132"/>
    </row>
    <row r="39" spans="1:191" ht="15" customHeight="1">
      <c r="A39" s="6"/>
      <c r="B39" s="243" t="s">
        <v>68</v>
      </c>
      <c r="C39" s="25"/>
      <c r="D39" s="25"/>
      <c r="E39" s="25"/>
      <c r="F39" s="25"/>
      <c r="G39" s="25"/>
      <c r="H39" s="25"/>
      <c r="I39" s="25"/>
      <c r="J39" s="25"/>
      <c r="K39" s="70"/>
      <c r="L39" s="70"/>
      <c r="M39" s="70"/>
      <c r="N39" s="70"/>
      <c r="O39" s="70"/>
      <c r="P39" s="70"/>
      <c r="Q39" s="70"/>
      <c r="R39" s="70"/>
      <c r="S39" s="70"/>
      <c r="T39" s="70"/>
      <c r="U39" s="71"/>
      <c r="V39" s="71"/>
      <c r="W39" s="71"/>
      <c r="X39" s="71"/>
      <c r="Y39" s="71"/>
      <c r="Z39" s="71"/>
      <c r="AA39" s="71"/>
      <c r="AB39" s="71"/>
      <c r="AC39" s="71"/>
      <c r="AD39" s="73"/>
      <c r="AE39" s="73"/>
      <c r="AF39" s="73"/>
      <c r="AG39" s="73"/>
      <c r="AH39" s="74"/>
      <c r="AI39" s="75">
        <v>7.3</v>
      </c>
      <c r="AJ39" s="75">
        <v>9.15</v>
      </c>
      <c r="AK39" s="75">
        <v>9.77</v>
      </c>
      <c r="AL39" s="73">
        <v>14</v>
      </c>
      <c r="AM39" s="74">
        <v>15</v>
      </c>
      <c r="AN39" s="73">
        <v>21</v>
      </c>
      <c r="AO39" s="74">
        <v>21.5</v>
      </c>
      <c r="AP39" s="74">
        <v>22</v>
      </c>
      <c r="AQ39" s="74">
        <v>21</v>
      </c>
      <c r="AR39" s="74">
        <v>21</v>
      </c>
      <c r="AS39" s="74">
        <v>21</v>
      </c>
      <c r="AT39" s="74">
        <v>21</v>
      </c>
      <c r="AU39" s="74">
        <v>21</v>
      </c>
      <c r="AV39" s="74">
        <v>20.5</v>
      </c>
      <c r="AW39" s="153">
        <v>21</v>
      </c>
      <c r="AX39" s="74">
        <v>21</v>
      </c>
      <c r="AY39" s="74">
        <v>21</v>
      </c>
      <c r="AZ39" s="74">
        <v>21</v>
      </c>
      <c r="BA39" s="74">
        <v>21</v>
      </c>
      <c r="BB39" s="74">
        <v>20</v>
      </c>
      <c r="BC39" s="74">
        <v>18.5</v>
      </c>
      <c r="BD39" s="74">
        <v>18</v>
      </c>
      <c r="BE39" s="74">
        <v>17.9</v>
      </c>
      <c r="BF39" s="74">
        <v>16.5</v>
      </c>
      <c r="BG39" s="74">
        <v>15.95</v>
      </c>
      <c r="BH39" s="74">
        <v>15.95</v>
      </c>
      <c r="BI39" s="74">
        <v>15.95</v>
      </c>
      <c r="BJ39" s="74">
        <v>15.5</v>
      </c>
      <c r="BK39" s="74">
        <v>0</v>
      </c>
      <c r="BL39" s="75">
        <v>13.5</v>
      </c>
      <c r="BM39" s="75">
        <v>13.8</v>
      </c>
      <c r="BN39" s="75">
        <v>11.5</v>
      </c>
      <c r="BO39" s="75">
        <v>8.17</v>
      </c>
      <c r="BP39" s="74">
        <v>5.5</v>
      </c>
      <c r="BQ39" s="75">
        <v>5.05</v>
      </c>
      <c r="BR39" s="75">
        <v>4.75</v>
      </c>
      <c r="BS39" s="74">
        <v>5.5</v>
      </c>
      <c r="BT39" s="75">
        <v>5.25</v>
      </c>
      <c r="BU39" s="75">
        <v>5.25</v>
      </c>
      <c r="BV39" s="75">
        <v>5.45</v>
      </c>
      <c r="BW39" s="74">
        <v>5.5</v>
      </c>
      <c r="BX39" s="75">
        <v>5.75</v>
      </c>
      <c r="BY39" s="75">
        <v>5.5</v>
      </c>
      <c r="BZ39" s="75"/>
      <c r="CA39" s="25"/>
      <c r="CB39" s="25"/>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165"/>
      <c r="DU39" s="64"/>
      <c r="DV39" s="64"/>
      <c r="DW39" s="64"/>
      <c r="DX39" s="64"/>
      <c r="DY39" s="64"/>
      <c r="DZ39" s="64"/>
      <c r="EA39" s="64"/>
      <c r="EB39" s="64"/>
      <c r="EC39" s="64"/>
      <c r="ED39" s="64"/>
      <c r="EE39" s="64"/>
      <c r="EF39" s="64"/>
      <c r="EG39" s="64"/>
      <c r="EH39" s="64"/>
      <c r="EI39" s="165"/>
      <c r="EJ39" s="165"/>
      <c r="EK39" s="165"/>
      <c r="EL39" s="165"/>
      <c r="EM39" s="165"/>
      <c r="EN39" s="165"/>
      <c r="EO39" s="165"/>
      <c r="EP39" s="165"/>
      <c r="EQ39" s="165"/>
      <c r="ER39" s="165"/>
      <c r="ES39" s="165"/>
      <c r="ET39" s="165"/>
      <c r="EU39" s="165"/>
      <c r="EV39" s="165"/>
      <c r="EW39" s="165"/>
      <c r="EX39" s="165"/>
      <c r="EY39" s="165"/>
      <c r="EZ39" s="165">
        <v>2.5</v>
      </c>
      <c r="FA39" s="165">
        <v>2.5</v>
      </c>
      <c r="FB39" s="165"/>
      <c r="FC39" s="165"/>
      <c r="FD39" s="314">
        <v>2.5</v>
      </c>
      <c r="FE39" s="315"/>
      <c r="FF39" s="315"/>
      <c r="FG39" s="315">
        <v>2.5</v>
      </c>
      <c r="FH39" s="315"/>
      <c r="FI39" s="315">
        <v>2.5</v>
      </c>
      <c r="FJ39" s="315">
        <v>2.5</v>
      </c>
      <c r="FK39" s="315">
        <v>2.5</v>
      </c>
      <c r="FL39" s="315">
        <v>2.5</v>
      </c>
      <c r="FM39" s="315">
        <v>2.5</v>
      </c>
      <c r="FN39" s="315">
        <v>2.5</v>
      </c>
      <c r="FO39" s="315">
        <v>2.5</v>
      </c>
      <c r="FP39" s="93"/>
      <c r="FQ39" s="49"/>
      <c r="FR39" s="49"/>
      <c r="FS39" s="49"/>
      <c r="FT39" s="49"/>
      <c r="FU39" s="49"/>
      <c r="FV39" s="49"/>
      <c r="FW39" s="49"/>
      <c r="FX39" s="49">
        <v>2.5</v>
      </c>
      <c r="FY39" s="49"/>
      <c r="FZ39" s="49">
        <v>2.5</v>
      </c>
      <c r="GA39" s="379"/>
      <c r="GB39" s="93">
        <v>2.5</v>
      </c>
      <c r="GC39" s="49"/>
      <c r="GD39" s="379">
        <v>2.5</v>
      </c>
      <c r="GE39" s="3"/>
      <c r="GF39" s="3"/>
      <c r="GG39" s="3"/>
      <c r="GH39" s="3"/>
      <c r="GI39" s="132"/>
    </row>
    <row r="40" spans="1:191" ht="15" customHeight="1">
      <c r="A40" s="6"/>
      <c r="B40" s="243" t="s">
        <v>154</v>
      </c>
      <c r="C40" s="25"/>
      <c r="D40" s="25"/>
      <c r="E40" s="25"/>
      <c r="F40" s="25"/>
      <c r="G40" s="25"/>
      <c r="H40" s="25"/>
      <c r="I40" s="25"/>
      <c r="J40" s="25"/>
      <c r="K40" s="70"/>
      <c r="L40" s="70"/>
      <c r="M40" s="70"/>
      <c r="N40" s="70"/>
      <c r="O40" s="70"/>
      <c r="P40" s="70"/>
      <c r="Q40" s="70"/>
      <c r="R40" s="70"/>
      <c r="S40" s="70"/>
      <c r="T40" s="70"/>
      <c r="U40" s="71"/>
      <c r="V40" s="71"/>
      <c r="W40" s="71"/>
      <c r="X40" s="71"/>
      <c r="Y40" s="71"/>
      <c r="Z40" s="71"/>
      <c r="AA40" s="71"/>
      <c r="AB40" s="71"/>
      <c r="AC40" s="71"/>
      <c r="AD40" s="73"/>
      <c r="AE40" s="73"/>
      <c r="AF40" s="73"/>
      <c r="AG40" s="73"/>
      <c r="AH40" s="74"/>
      <c r="AI40" s="75"/>
      <c r="AJ40" s="75"/>
      <c r="AK40" s="75"/>
      <c r="AL40" s="73"/>
      <c r="AM40" s="74"/>
      <c r="AN40" s="73"/>
      <c r="AO40" s="74"/>
      <c r="AP40" s="74"/>
      <c r="AQ40" s="74"/>
      <c r="AR40" s="74"/>
      <c r="AS40" s="74"/>
      <c r="AT40" s="74"/>
      <c r="AU40" s="74"/>
      <c r="AV40" s="74"/>
      <c r="AW40" s="153"/>
      <c r="AX40" s="74"/>
      <c r="AY40" s="74"/>
      <c r="AZ40" s="74"/>
      <c r="BA40" s="74"/>
      <c r="BB40" s="74"/>
      <c r="BC40" s="74"/>
      <c r="BD40" s="74"/>
      <c r="BE40" s="74"/>
      <c r="BF40" s="74"/>
      <c r="BG40" s="74"/>
      <c r="BH40" s="74"/>
      <c r="BI40" s="74"/>
      <c r="BJ40" s="74"/>
      <c r="BK40" s="74"/>
      <c r="BL40" s="75"/>
      <c r="BM40" s="75"/>
      <c r="BN40" s="75"/>
      <c r="BO40" s="75"/>
      <c r="BP40" s="74"/>
      <c r="BQ40" s="75"/>
      <c r="BR40" s="75"/>
      <c r="BS40" s="74"/>
      <c r="BT40" s="75"/>
      <c r="BU40" s="75"/>
      <c r="BV40" s="75"/>
      <c r="BW40" s="74"/>
      <c r="BX40" s="75"/>
      <c r="BY40" s="75"/>
      <c r="BZ40" s="75"/>
      <c r="CA40" s="25"/>
      <c r="CB40" s="25"/>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165"/>
      <c r="DU40" s="64"/>
      <c r="DV40" s="64"/>
      <c r="DW40" s="64"/>
      <c r="DX40" s="64"/>
      <c r="DY40" s="64"/>
      <c r="DZ40" s="64"/>
      <c r="EA40" s="64"/>
      <c r="EB40" s="64"/>
      <c r="EC40" s="64"/>
      <c r="ED40" s="64"/>
      <c r="EE40" s="64"/>
      <c r="EF40" s="64"/>
      <c r="EG40" s="64"/>
      <c r="EH40" s="64"/>
      <c r="EI40" s="165"/>
      <c r="EJ40" s="165"/>
      <c r="EK40" s="165"/>
      <c r="EL40" s="165"/>
      <c r="EM40" s="165"/>
      <c r="EN40" s="165"/>
      <c r="EO40" s="165"/>
      <c r="EP40" s="165"/>
      <c r="EQ40" s="165"/>
      <c r="ER40" s="165"/>
      <c r="ES40" s="165"/>
      <c r="ET40" s="165"/>
      <c r="EU40" s="165"/>
      <c r="EV40" s="165"/>
      <c r="EW40" s="165"/>
      <c r="EX40" s="165"/>
      <c r="EY40" s="165"/>
      <c r="EZ40" s="165"/>
      <c r="FA40" s="165"/>
      <c r="FB40" s="165"/>
      <c r="FC40" s="165"/>
      <c r="FD40" s="314"/>
      <c r="FE40" s="315"/>
      <c r="FF40" s="315"/>
      <c r="FG40" s="315"/>
      <c r="FH40" s="315"/>
      <c r="FI40" s="315"/>
      <c r="FJ40" s="315"/>
      <c r="FK40" s="315"/>
      <c r="FL40" s="315"/>
      <c r="FM40" s="315"/>
      <c r="FN40" s="315"/>
      <c r="FO40" s="315"/>
      <c r="FP40" s="93"/>
      <c r="FQ40" s="49"/>
      <c r="FR40" s="49"/>
      <c r="FS40" s="49"/>
      <c r="FT40" s="49"/>
      <c r="FU40" s="49"/>
      <c r="FV40" s="49"/>
      <c r="FW40" s="49"/>
      <c r="FX40" s="49"/>
      <c r="FY40" s="49">
        <v>2.9</v>
      </c>
      <c r="FZ40" s="49"/>
      <c r="GA40" s="379">
        <v>2.9</v>
      </c>
      <c r="GB40" s="93"/>
      <c r="GC40" s="49"/>
      <c r="GD40" s="379"/>
      <c r="GE40" s="3"/>
      <c r="GF40" s="3"/>
      <c r="GG40" s="3"/>
      <c r="GH40" s="3"/>
      <c r="GI40" s="132"/>
    </row>
    <row r="41" spans="1:191" ht="15" customHeight="1">
      <c r="A41" s="6"/>
      <c r="B41" s="243" t="s">
        <v>155</v>
      </c>
      <c r="C41" s="25"/>
      <c r="D41" s="25"/>
      <c r="E41" s="25"/>
      <c r="F41" s="25"/>
      <c r="G41" s="25"/>
      <c r="H41" s="25"/>
      <c r="I41" s="25"/>
      <c r="J41" s="25"/>
      <c r="K41" s="70"/>
      <c r="L41" s="70"/>
      <c r="M41" s="70"/>
      <c r="N41" s="70"/>
      <c r="O41" s="70"/>
      <c r="P41" s="70"/>
      <c r="Q41" s="70"/>
      <c r="R41" s="70"/>
      <c r="S41" s="70"/>
      <c r="T41" s="70"/>
      <c r="U41" s="71"/>
      <c r="V41" s="71"/>
      <c r="W41" s="71"/>
      <c r="X41" s="71"/>
      <c r="Y41" s="71"/>
      <c r="Z41" s="71"/>
      <c r="AA41" s="71"/>
      <c r="AB41" s="71"/>
      <c r="AC41" s="71"/>
      <c r="AD41" s="73"/>
      <c r="AE41" s="73"/>
      <c r="AF41" s="73"/>
      <c r="AG41" s="73"/>
      <c r="AH41" s="74"/>
      <c r="AI41" s="75"/>
      <c r="AJ41" s="75"/>
      <c r="AK41" s="75"/>
      <c r="AL41" s="73"/>
      <c r="AM41" s="74"/>
      <c r="AN41" s="73"/>
      <c r="AO41" s="74"/>
      <c r="AP41" s="74"/>
      <c r="AQ41" s="74"/>
      <c r="AR41" s="74"/>
      <c r="AS41" s="74"/>
      <c r="AT41" s="74"/>
      <c r="AU41" s="74"/>
      <c r="AV41" s="74"/>
      <c r="AW41" s="153"/>
      <c r="AX41" s="74"/>
      <c r="AY41" s="74"/>
      <c r="AZ41" s="74"/>
      <c r="BA41" s="74"/>
      <c r="BB41" s="74"/>
      <c r="BC41" s="74"/>
      <c r="BD41" s="74"/>
      <c r="BE41" s="74"/>
      <c r="BF41" s="74"/>
      <c r="BG41" s="74"/>
      <c r="BH41" s="74"/>
      <c r="BI41" s="74"/>
      <c r="BJ41" s="74"/>
      <c r="BK41" s="74"/>
      <c r="BL41" s="75"/>
      <c r="BM41" s="75"/>
      <c r="BN41" s="75"/>
      <c r="BO41" s="75"/>
      <c r="BP41" s="74"/>
      <c r="BQ41" s="75"/>
      <c r="BR41" s="75"/>
      <c r="BS41" s="74"/>
      <c r="BT41" s="75"/>
      <c r="BU41" s="75"/>
      <c r="BV41" s="75"/>
      <c r="BW41" s="74"/>
      <c r="BX41" s="75"/>
      <c r="BY41" s="75"/>
      <c r="BZ41" s="75"/>
      <c r="CA41" s="25"/>
      <c r="CB41" s="25"/>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165"/>
      <c r="DU41" s="64"/>
      <c r="DV41" s="64"/>
      <c r="DW41" s="64"/>
      <c r="DX41" s="64"/>
      <c r="DY41" s="64"/>
      <c r="DZ41" s="64"/>
      <c r="EA41" s="64"/>
      <c r="EB41" s="64"/>
      <c r="EC41" s="64"/>
      <c r="ED41" s="64"/>
      <c r="EE41" s="64"/>
      <c r="EF41" s="64"/>
      <c r="EG41" s="64"/>
      <c r="EH41" s="64"/>
      <c r="EI41" s="165"/>
      <c r="EJ41" s="165"/>
      <c r="EK41" s="165"/>
      <c r="EL41" s="165"/>
      <c r="EM41" s="165"/>
      <c r="EN41" s="165"/>
      <c r="EO41" s="165"/>
      <c r="EP41" s="165"/>
      <c r="EQ41" s="165"/>
      <c r="ER41" s="165"/>
      <c r="ES41" s="165"/>
      <c r="ET41" s="165"/>
      <c r="EU41" s="165"/>
      <c r="EV41" s="165"/>
      <c r="EW41" s="165"/>
      <c r="EX41" s="165"/>
      <c r="EY41" s="165"/>
      <c r="EZ41" s="165"/>
      <c r="FA41" s="165"/>
      <c r="FB41" s="165"/>
      <c r="FC41" s="165"/>
      <c r="FD41" s="314"/>
      <c r="FE41" s="315"/>
      <c r="FF41" s="315"/>
      <c r="FG41" s="315"/>
      <c r="FH41" s="315"/>
      <c r="FI41" s="315"/>
      <c r="FJ41" s="315"/>
      <c r="FK41" s="315"/>
      <c r="FL41" s="315"/>
      <c r="FM41" s="315"/>
      <c r="FN41" s="315"/>
      <c r="FO41" s="315"/>
      <c r="FP41" s="93"/>
      <c r="FQ41" s="49"/>
      <c r="FR41" s="49"/>
      <c r="FS41" s="49"/>
      <c r="FT41" s="49"/>
      <c r="FU41" s="49"/>
      <c r="FV41" s="49"/>
      <c r="FW41" s="49"/>
      <c r="FX41" s="49"/>
      <c r="FY41" s="49"/>
      <c r="FZ41" s="49"/>
      <c r="GA41" s="379"/>
      <c r="GB41" s="93"/>
      <c r="GC41" s="49">
        <v>1.5</v>
      </c>
      <c r="GD41" s="379"/>
      <c r="GE41" s="3"/>
      <c r="GF41" s="3"/>
      <c r="GG41" s="3"/>
      <c r="GH41" s="3"/>
      <c r="GI41" s="132"/>
    </row>
    <row r="42" spans="1:191" ht="15" customHeight="1">
      <c r="A42" s="6"/>
      <c r="B42" s="186" t="s">
        <v>38</v>
      </c>
      <c r="C42" s="61"/>
      <c r="D42" s="61"/>
      <c r="E42" s="61"/>
      <c r="F42" s="63"/>
      <c r="G42" s="63"/>
      <c r="H42" s="63"/>
      <c r="I42" s="63"/>
      <c r="J42" s="63"/>
      <c r="K42" s="61"/>
      <c r="L42" s="61"/>
      <c r="M42" s="61"/>
      <c r="N42" s="61"/>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81"/>
      <c r="AS42" s="81"/>
      <c r="AT42" s="81"/>
      <c r="AU42" s="81"/>
      <c r="AV42" s="81"/>
      <c r="AW42" s="79"/>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25"/>
      <c r="CB42" s="25"/>
      <c r="CC42" s="25"/>
      <c r="CD42" s="25"/>
      <c r="CE42" s="25"/>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173"/>
      <c r="EG42" s="173"/>
      <c r="EH42" s="173"/>
      <c r="EI42" s="173"/>
      <c r="EJ42" s="173"/>
      <c r="EK42" s="173"/>
      <c r="EL42" s="173"/>
      <c r="EM42" s="173"/>
      <c r="EN42" s="173"/>
      <c r="EO42" s="173"/>
      <c r="EP42" s="173"/>
      <c r="EQ42" s="173"/>
      <c r="ER42" s="173"/>
      <c r="ES42" s="173"/>
      <c r="ET42" s="173"/>
      <c r="EU42" s="173"/>
      <c r="EV42" s="173"/>
      <c r="EW42" s="173"/>
      <c r="EX42" s="173"/>
      <c r="EY42" s="173"/>
      <c r="EZ42" s="173"/>
      <c r="FA42" s="173"/>
      <c r="FB42" s="173"/>
      <c r="FC42" s="173"/>
      <c r="FD42" s="316"/>
      <c r="FE42" s="317"/>
      <c r="FF42" s="317"/>
      <c r="FG42" s="317"/>
      <c r="FH42" s="317"/>
      <c r="FI42" s="317"/>
      <c r="FJ42" s="317"/>
      <c r="FK42" s="317"/>
      <c r="FL42" s="317"/>
      <c r="FM42" s="317"/>
      <c r="FN42" s="317"/>
      <c r="FO42" s="317"/>
      <c r="FP42" s="93"/>
      <c r="FQ42" s="49"/>
      <c r="FR42" s="49"/>
      <c r="FS42" s="49"/>
      <c r="FT42" s="49"/>
      <c r="FU42" s="376"/>
      <c r="FV42" s="376"/>
      <c r="FW42" s="376"/>
      <c r="FX42" s="376"/>
      <c r="FY42" s="390"/>
      <c r="FZ42" s="390"/>
      <c r="GA42" s="406"/>
      <c r="GB42" s="426"/>
      <c r="GC42" s="390"/>
      <c r="GD42" s="406"/>
      <c r="GE42" s="3"/>
      <c r="GF42" s="3"/>
      <c r="GG42" s="3"/>
      <c r="GH42" s="3"/>
      <c r="GI42" s="132"/>
    </row>
    <row r="43" spans="1:191" ht="15" customHeight="1">
      <c r="A43" s="6"/>
      <c r="B43" s="93" t="s">
        <v>54</v>
      </c>
      <c r="C43" s="61">
        <v>9</v>
      </c>
      <c r="D43" s="63">
        <v>9</v>
      </c>
      <c r="E43" s="63">
        <v>9</v>
      </c>
      <c r="F43" s="63">
        <v>8.39</v>
      </c>
      <c r="G43" s="61">
        <v>8</v>
      </c>
      <c r="H43" s="61">
        <v>8</v>
      </c>
      <c r="I43" s="63">
        <v>7.98</v>
      </c>
      <c r="J43" s="63">
        <v>7.98</v>
      </c>
      <c r="K43" s="63">
        <v>7.98</v>
      </c>
      <c r="L43" s="63">
        <v>8.1</v>
      </c>
      <c r="M43" s="63">
        <v>8</v>
      </c>
      <c r="N43" s="61">
        <v>8</v>
      </c>
      <c r="O43" s="25">
        <v>8</v>
      </c>
      <c r="P43" s="25">
        <v>7.6</v>
      </c>
      <c r="Q43" s="25">
        <v>7.4</v>
      </c>
      <c r="R43" s="76">
        <v>7.4</v>
      </c>
      <c r="S43" s="76">
        <v>7.3</v>
      </c>
      <c r="T43" s="76">
        <v>7.3</v>
      </c>
      <c r="U43" s="25">
        <v>7.1</v>
      </c>
      <c r="V43" s="25">
        <v>7</v>
      </c>
      <c r="W43" s="25">
        <v>7.3</v>
      </c>
      <c r="X43" s="25">
        <v>7.2</v>
      </c>
      <c r="Y43" s="25">
        <v>7.2</v>
      </c>
      <c r="Z43" s="25">
        <v>7.3</v>
      </c>
      <c r="AA43" s="25">
        <v>7.1</v>
      </c>
      <c r="AB43" s="25">
        <v>7.2</v>
      </c>
      <c r="AC43" s="25">
        <v>7.1</v>
      </c>
      <c r="AD43" s="76">
        <v>7</v>
      </c>
      <c r="AE43" s="62">
        <v>7</v>
      </c>
      <c r="AF43" s="62">
        <v>7.3</v>
      </c>
      <c r="AG43" s="62">
        <v>7.1</v>
      </c>
      <c r="AH43" s="62">
        <v>7.1</v>
      </c>
      <c r="AI43" s="62">
        <v>7.3</v>
      </c>
      <c r="AJ43" s="62">
        <v>7.3</v>
      </c>
      <c r="AK43" s="62">
        <v>7.5</v>
      </c>
      <c r="AL43" s="62">
        <v>7.5</v>
      </c>
      <c r="AM43" s="62">
        <v>7.7</v>
      </c>
      <c r="AN43" s="62">
        <v>8.9</v>
      </c>
      <c r="AO43" s="62">
        <v>9.3</v>
      </c>
      <c r="AP43" s="62">
        <v>11</v>
      </c>
      <c r="AQ43" s="62">
        <v>11.6</v>
      </c>
      <c r="AR43" s="159">
        <v>11.8</v>
      </c>
      <c r="AS43" s="159">
        <v>11.8</v>
      </c>
      <c r="AT43" s="159">
        <v>11.3</v>
      </c>
      <c r="AU43" s="159">
        <v>11.7</v>
      </c>
      <c r="AV43" s="159">
        <v>11.9</v>
      </c>
      <c r="AW43" s="159">
        <v>12.2</v>
      </c>
      <c r="AX43" s="159">
        <v>11.8</v>
      </c>
      <c r="AY43" s="159">
        <v>12.3</v>
      </c>
      <c r="AZ43" s="159">
        <v>12.35</v>
      </c>
      <c r="BA43" s="159">
        <v>12.4</v>
      </c>
      <c r="BB43" s="159">
        <v>12.6</v>
      </c>
      <c r="BC43" s="159">
        <v>12.2</v>
      </c>
      <c r="BD43" s="159">
        <v>12.3</v>
      </c>
      <c r="BE43" s="159">
        <v>12.1</v>
      </c>
      <c r="BF43" s="159">
        <v>11.9</v>
      </c>
      <c r="BG43" s="159">
        <v>11.9</v>
      </c>
      <c r="BH43" s="159">
        <v>11.6</v>
      </c>
      <c r="BI43" s="159">
        <v>11.2</v>
      </c>
      <c r="BJ43" s="159">
        <v>10.9</v>
      </c>
      <c r="BK43" s="159">
        <v>10.1</v>
      </c>
      <c r="BL43" s="159">
        <v>10.59</v>
      </c>
      <c r="BM43" s="159">
        <v>10.52</v>
      </c>
      <c r="BN43" s="159">
        <v>9.25</v>
      </c>
      <c r="BO43" s="159">
        <v>8.89</v>
      </c>
      <c r="BP43" s="159">
        <v>8.68</v>
      </c>
      <c r="BQ43" s="159">
        <v>8.59</v>
      </c>
      <c r="BR43" s="159">
        <v>8.53</v>
      </c>
      <c r="BS43" s="159">
        <v>8.42</v>
      </c>
      <c r="BT43" s="159">
        <v>8.26</v>
      </c>
      <c r="BU43" s="159">
        <v>8.19</v>
      </c>
      <c r="BV43" s="159">
        <v>8.01</v>
      </c>
      <c r="BW43" s="159">
        <v>8.01</v>
      </c>
      <c r="BX43" s="162">
        <v>7.47</v>
      </c>
      <c r="BY43" s="162">
        <v>7.47</v>
      </c>
      <c r="BZ43" s="162">
        <v>7.43</v>
      </c>
      <c r="CA43" s="162">
        <v>7.18</v>
      </c>
      <c r="CB43" s="163">
        <v>7.19</v>
      </c>
      <c r="CC43" s="163">
        <v>7.19</v>
      </c>
      <c r="CD43" s="163">
        <v>7.19</v>
      </c>
      <c r="CE43" s="155">
        <v>7.13</v>
      </c>
      <c r="CF43" s="164">
        <v>7.03</v>
      </c>
      <c r="CG43" s="164">
        <v>7</v>
      </c>
      <c r="CH43" s="164">
        <v>7</v>
      </c>
      <c r="CI43" s="164">
        <v>6.77</v>
      </c>
      <c r="CJ43" s="165">
        <v>6.85</v>
      </c>
      <c r="CK43" s="165">
        <v>6.82</v>
      </c>
      <c r="CL43" s="165">
        <v>6.89</v>
      </c>
      <c r="CM43" s="165">
        <v>6.89</v>
      </c>
      <c r="CN43" s="165">
        <v>6.89</v>
      </c>
      <c r="CO43" s="165">
        <v>6.9</v>
      </c>
      <c r="CP43" s="165">
        <v>6.9</v>
      </c>
      <c r="CQ43" s="165">
        <v>6.92</v>
      </c>
      <c r="CR43" s="165">
        <v>6.92</v>
      </c>
      <c r="CS43" s="165">
        <v>6.95</v>
      </c>
      <c r="CT43" s="165">
        <v>6.95</v>
      </c>
      <c r="CU43" s="165">
        <v>6.95</v>
      </c>
      <c r="CV43" s="164">
        <v>6.92</v>
      </c>
      <c r="CW43" s="164">
        <v>6.85</v>
      </c>
      <c r="CX43" s="164">
        <v>6.86</v>
      </c>
      <c r="CY43" s="164">
        <v>6.85</v>
      </c>
      <c r="CZ43" s="164">
        <v>6.8</v>
      </c>
      <c r="DA43" s="164">
        <v>6.78</v>
      </c>
      <c r="DB43" s="164">
        <v>6.75</v>
      </c>
      <c r="DC43" s="164">
        <v>6.7</v>
      </c>
      <c r="DD43" s="164">
        <v>6.77</v>
      </c>
      <c r="DE43" s="164">
        <v>6.78</v>
      </c>
      <c r="DF43" s="25">
        <v>6.78</v>
      </c>
      <c r="DG43" s="164">
        <v>6.78</v>
      </c>
      <c r="DH43" s="164">
        <v>6.77</v>
      </c>
      <c r="DI43" s="62">
        <v>6.71</v>
      </c>
      <c r="DJ43" s="62">
        <v>6.64</v>
      </c>
      <c r="DK43" s="25">
        <v>6.64</v>
      </c>
      <c r="DL43" s="62">
        <v>6.66</v>
      </c>
      <c r="DM43" s="62">
        <v>6.57</v>
      </c>
      <c r="DN43" s="62">
        <v>6.57</v>
      </c>
      <c r="DO43" s="62">
        <v>6.52</v>
      </c>
      <c r="DP43" s="62">
        <v>6.74</v>
      </c>
      <c r="DQ43" s="62">
        <v>6.58</v>
      </c>
      <c r="DR43" s="62">
        <v>6.47</v>
      </c>
      <c r="DS43" s="164">
        <v>6.4</v>
      </c>
      <c r="DT43" s="162">
        <v>6.24</v>
      </c>
      <c r="DU43" s="162">
        <v>6.22</v>
      </c>
      <c r="DV43" s="162">
        <v>6.32</v>
      </c>
      <c r="DW43" s="162">
        <v>6.33</v>
      </c>
      <c r="DX43" s="162">
        <v>6.24</v>
      </c>
      <c r="DY43" s="162">
        <v>6.03</v>
      </c>
      <c r="DZ43" s="162">
        <v>5.77</v>
      </c>
      <c r="EA43" s="162">
        <v>5.8</v>
      </c>
      <c r="EB43" s="162">
        <v>5.86</v>
      </c>
      <c r="EC43" s="162">
        <v>5.7</v>
      </c>
      <c r="ED43" s="162">
        <v>5.75</v>
      </c>
      <c r="EE43" s="162">
        <v>5.77</v>
      </c>
      <c r="EF43" s="62">
        <v>5.82</v>
      </c>
      <c r="EG43" s="25">
        <v>5.82</v>
      </c>
      <c r="EH43" s="25">
        <v>5.75</v>
      </c>
      <c r="EI43" s="162">
        <v>5.73</v>
      </c>
      <c r="EJ43" s="162">
        <v>5.79</v>
      </c>
      <c r="EK43" s="162">
        <v>5.78</v>
      </c>
      <c r="EL43" s="162">
        <v>5.81</v>
      </c>
      <c r="EM43" s="162">
        <v>5.75</v>
      </c>
      <c r="EN43" s="162">
        <v>5.65</v>
      </c>
      <c r="EO43" s="162">
        <v>5.71</v>
      </c>
      <c r="EP43" s="162">
        <v>5.78</v>
      </c>
      <c r="EQ43" s="62">
        <v>5.71</v>
      </c>
      <c r="ER43" s="62">
        <v>5.6</v>
      </c>
      <c r="ES43" s="162">
        <v>5.57</v>
      </c>
      <c r="ET43" s="62">
        <v>5.73</v>
      </c>
      <c r="EU43" s="164">
        <v>5.6</v>
      </c>
      <c r="EV43" s="62">
        <v>5.56</v>
      </c>
      <c r="EW43" s="62">
        <v>5.61</v>
      </c>
      <c r="EX43" s="62">
        <v>5.61</v>
      </c>
      <c r="EY43" s="62">
        <v>5.66</v>
      </c>
      <c r="EZ43" s="62">
        <v>5.65</v>
      </c>
      <c r="FA43" s="62">
        <v>5.73</v>
      </c>
      <c r="FB43" s="62">
        <v>5.73</v>
      </c>
      <c r="FC43" s="62">
        <v>5.75</v>
      </c>
      <c r="FD43" s="93">
        <v>5.71</v>
      </c>
      <c r="FE43" s="49">
        <v>5.68</v>
      </c>
      <c r="FF43" s="49">
        <v>5.59</v>
      </c>
      <c r="FG43" s="49">
        <v>5.52</v>
      </c>
      <c r="FH43" s="49">
        <v>5.2</v>
      </c>
      <c r="FI43" s="49">
        <v>5.49</v>
      </c>
      <c r="FJ43" s="94">
        <v>5.51</v>
      </c>
      <c r="FK43" s="49">
        <v>5.44</v>
      </c>
      <c r="FL43" s="49">
        <v>5.45</v>
      </c>
      <c r="FM43" s="49">
        <v>5.52</v>
      </c>
      <c r="FN43" s="358">
        <v>5.33</v>
      </c>
      <c r="FO43" s="49">
        <v>5.46</v>
      </c>
      <c r="FP43" s="93">
        <v>5.32</v>
      </c>
      <c r="FQ43" s="49">
        <v>5.38</v>
      </c>
      <c r="FR43" s="94">
        <v>5.3</v>
      </c>
      <c r="FS43" s="49">
        <v>5.29</v>
      </c>
      <c r="FT43" s="49">
        <v>5.29</v>
      </c>
      <c r="FU43" s="49">
        <v>5.29</v>
      </c>
      <c r="FV43" s="49">
        <v>5.29</v>
      </c>
      <c r="FW43" s="49">
        <v>5.29</v>
      </c>
      <c r="FX43" s="49">
        <v>5.35</v>
      </c>
      <c r="FY43" s="49">
        <v>5.29</v>
      </c>
      <c r="FZ43" s="49">
        <v>5.24</v>
      </c>
      <c r="GA43" s="379">
        <v>5.17</v>
      </c>
      <c r="GB43" s="93">
        <v>5.04</v>
      </c>
      <c r="GC43" s="94">
        <v>5.03</v>
      </c>
      <c r="GD43" s="409"/>
      <c r="GE43" s="3"/>
      <c r="GF43" s="3"/>
      <c r="GG43" s="3"/>
      <c r="GH43" s="3"/>
      <c r="GI43" s="132"/>
    </row>
    <row r="44" spans="1:191" ht="15" customHeight="1">
      <c r="A44" s="6"/>
      <c r="B44" s="93" t="s">
        <v>55</v>
      </c>
      <c r="C44" s="61" t="s">
        <v>6</v>
      </c>
      <c r="D44" s="63" t="s">
        <v>6</v>
      </c>
      <c r="E44" s="63" t="s">
        <v>6</v>
      </c>
      <c r="F44" s="61" t="s">
        <v>6</v>
      </c>
      <c r="G44" s="61">
        <v>4.5</v>
      </c>
      <c r="H44" s="63">
        <v>4</v>
      </c>
      <c r="I44" s="61">
        <v>3.8</v>
      </c>
      <c r="J44" s="61">
        <v>4</v>
      </c>
      <c r="K44" s="61">
        <v>4</v>
      </c>
      <c r="L44" s="61">
        <v>4.7</v>
      </c>
      <c r="M44" s="61">
        <v>4.2</v>
      </c>
      <c r="N44" s="61">
        <v>4</v>
      </c>
      <c r="O44" s="77">
        <v>4.1</v>
      </c>
      <c r="P44" s="25">
        <v>3.8</v>
      </c>
      <c r="Q44" s="25">
        <v>3.8</v>
      </c>
      <c r="R44" s="76">
        <v>3.7</v>
      </c>
      <c r="S44" s="76">
        <v>3.7</v>
      </c>
      <c r="T44" s="76">
        <v>3.8</v>
      </c>
      <c r="U44" s="25">
        <v>3.8</v>
      </c>
      <c r="V44" s="25">
        <v>3.8</v>
      </c>
      <c r="W44" s="25">
        <v>3.8</v>
      </c>
      <c r="X44" s="25">
        <v>4.1</v>
      </c>
      <c r="Y44" s="25">
        <v>4.6</v>
      </c>
      <c r="Z44" s="25">
        <v>3.8</v>
      </c>
      <c r="AA44" s="25">
        <v>3.7</v>
      </c>
      <c r="AB44" s="25">
        <v>3.9</v>
      </c>
      <c r="AC44" s="25">
        <v>3.9</v>
      </c>
      <c r="AD44" s="76">
        <v>3.7</v>
      </c>
      <c r="AE44" s="62">
        <v>3.7</v>
      </c>
      <c r="AF44" s="62">
        <v>4.1</v>
      </c>
      <c r="AG44" s="62">
        <v>4.1</v>
      </c>
      <c r="AH44" s="62">
        <v>4.1</v>
      </c>
      <c r="AI44" s="62">
        <v>4.2</v>
      </c>
      <c r="AJ44" s="62">
        <v>4.2</v>
      </c>
      <c r="AK44" s="62">
        <v>4.2</v>
      </c>
      <c r="AL44" s="62">
        <v>4.2</v>
      </c>
      <c r="AM44" s="62">
        <v>4.2</v>
      </c>
      <c r="AN44" s="62">
        <v>4.7</v>
      </c>
      <c r="AO44" s="62">
        <v>4.9</v>
      </c>
      <c r="AP44" s="62">
        <v>4.9</v>
      </c>
      <c r="AQ44" s="62">
        <v>5.2</v>
      </c>
      <c r="AR44" s="159">
        <v>5.2</v>
      </c>
      <c r="AS44" s="159">
        <v>4.9</v>
      </c>
      <c r="AT44" s="159">
        <v>5.1</v>
      </c>
      <c r="AU44" s="159">
        <v>4.7</v>
      </c>
      <c r="AV44" s="159">
        <v>4.7</v>
      </c>
      <c r="AW44" s="159">
        <v>4.8</v>
      </c>
      <c r="AX44" s="159">
        <v>5.1</v>
      </c>
      <c r="AY44" s="159">
        <v>4.7</v>
      </c>
      <c r="AZ44" s="159">
        <v>4.7</v>
      </c>
      <c r="BA44" s="159">
        <v>4.9</v>
      </c>
      <c r="BB44" s="159">
        <v>4.5</v>
      </c>
      <c r="BC44" s="159">
        <v>4.9</v>
      </c>
      <c r="BD44" s="159">
        <v>4.7</v>
      </c>
      <c r="BE44" s="159">
        <v>4.6</v>
      </c>
      <c r="BF44" s="159">
        <v>4.7</v>
      </c>
      <c r="BG44" s="159">
        <v>4.7</v>
      </c>
      <c r="BH44" s="159">
        <v>5.4</v>
      </c>
      <c r="BI44" s="159">
        <v>4.7</v>
      </c>
      <c r="BJ44" s="159">
        <v>4.6</v>
      </c>
      <c r="BK44" s="159">
        <v>4.3</v>
      </c>
      <c r="BL44" s="159">
        <v>4.08</v>
      </c>
      <c r="BM44" s="159">
        <v>4.1</v>
      </c>
      <c r="BN44" s="159">
        <v>3.95</v>
      </c>
      <c r="BO44" s="159">
        <v>3.92</v>
      </c>
      <c r="BP44" s="159">
        <v>3.88</v>
      </c>
      <c r="BQ44" s="159">
        <v>3.88</v>
      </c>
      <c r="BR44" s="159">
        <v>3.84</v>
      </c>
      <c r="BS44" s="159">
        <v>3.84</v>
      </c>
      <c r="BT44" s="159">
        <v>4.02</v>
      </c>
      <c r="BU44" s="159">
        <v>3.95</v>
      </c>
      <c r="BV44" s="159">
        <v>3.91</v>
      </c>
      <c r="BW44" s="159">
        <v>3.93</v>
      </c>
      <c r="BX44" s="162">
        <v>2.91</v>
      </c>
      <c r="BY44" s="162">
        <v>3.62</v>
      </c>
      <c r="BZ44" s="162">
        <v>3.6</v>
      </c>
      <c r="CA44" s="162">
        <v>3.43</v>
      </c>
      <c r="CB44" s="163">
        <v>3.42</v>
      </c>
      <c r="CC44" s="163">
        <v>3.42</v>
      </c>
      <c r="CD44" s="163">
        <v>3.42</v>
      </c>
      <c r="CE44" s="155">
        <v>3.42</v>
      </c>
      <c r="CF44" s="164">
        <v>3.38</v>
      </c>
      <c r="CG44" s="164">
        <v>3.38</v>
      </c>
      <c r="CH44" s="164">
        <v>3.38</v>
      </c>
      <c r="CI44" s="164">
        <v>3.38</v>
      </c>
      <c r="CJ44" s="165">
        <v>3.35</v>
      </c>
      <c r="CK44" s="165">
        <v>3.38</v>
      </c>
      <c r="CL44" s="165">
        <v>3.42</v>
      </c>
      <c r="CM44" s="165">
        <v>3.42</v>
      </c>
      <c r="CN44" s="165">
        <v>3.44</v>
      </c>
      <c r="CO44" s="165">
        <v>3.58</v>
      </c>
      <c r="CP44" s="165">
        <v>3.58</v>
      </c>
      <c r="CQ44" s="165">
        <v>3.58</v>
      </c>
      <c r="CR44" s="165">
        <v>3.58</v>
      </c>
      <c r="CS44" s="165">
        <v>3.62</v>
      </c>
      <c r="CT44" s="165">
        <v>3.62</v>
      </c>
      <c r="CU44" s="165">
        <v>3.62</v>
      </c>
      <c r="CV44" s="164">
        <v>3.63</v>
      </c>
      <c r="CW44" s="164">
        <v>3.65</v>
      </c>
      <c r="CX44" s="164">
        <v>3.67</v>
      </c>
      <c r="CY44" s="164">
        <v>3.64</v>
      </c>
      <c r="CZ44" s="164">
        <v>3.6</v>
      </c>
      <c r="DA44" s="164">
        <v>3.69</v>
      </c>
      <c r="DB44" s="164">
        <v>3.69</v>
      </c>
      <c r="DC44" s="164">
        <v>3.57</v>
      </c>
      <c r="DD44" s="164">
        <v>3.71</v>
      </c>
      <c r="DE44" s="164">
        <v>3.71</v>
      </c>
      <c r="DF44" s="25">
        <v>3.71</v>
      </c>
      <c r="DG44" s="164">
        <v>3.71</v>
      </c>
      <c r="DH44" s="164">
        <v>3.79</v>
      </c>
      <c r="DI44" s="62">
        <v>3.71</v>
      </c>
      <c r="DJ44" s="62">
        <v>3.61</v>
      </c>
      <c r="DK44" s="25">
        <v>3.61</v>
      </c>
      <c r="DL44" s="62">
        <v>3.65</v>
      </c>
      <c r="DM44" s="25">
        <v>3.62</v>
      </c>
      <c r="DN44" s="62">
        <v>3.61</v>
      </c>
      <c r="DO44" s="62">
        <v>3.61</v>
      </c>
      <c r="DP44" s="62">
        <v>3.56</v>
      </c>
      <c r="DQ44" s="25">
        <v>3.54</v>
      </c>
      <c r="DR44" s="62">
        <v>3.85</v>
      </c>
      <c r="DS44" s="155">
        <v>3.6</v>
      </c>
      <c r="DT44" s="162">
        <v>3.56</v>
      </c>
      <c r="DU44" s="162">
        <v>3.56</v>
      </c>
      <c r="DV44" s="162">
        <v>3.54</v>
      </c>
      <c r="DW44" s="162">
        <v>3.5</v>
      </c>
      <c r="DX44" s="162">
        <v>3.52</v>
      </c>
      <c r="DY44" s="162">
        <v>3.43</v>
      </c>
      <c r="DZ44" s="162">
        <v>3.46</v>
      </c>
      <c r="EA44" s="162">
        <v>3.47</v>
      </c>
      <c r="EB44" s="162">
        <v>3.4</v>
      </c>
      <c r="EC44" s="162">
        <v>3.29</v>
      </c>
      <c r="ED44" s="162">
        <v>3.34</v>
      </c>
      <c r="EE44" s="162">
        <v>3.34</v>
      </c>
      <c r="EF44" s="62">
        <v>3.48</v>
      </c>
      <c r="EG44" s="162">
        <v>3.49</v>
      </c>
      <c r="EH44" s="25">
        <v>3.51</v>
      </c>
      <c r="EI44" s="162">
        <v>3.47</v>
      </c>
      <c r="EJ44" s="162">
        <v>3.53</v>
      </c>
      <c r="EK44" s="162">
        <v>3.48</v>
      </c>
      <c r="EL44" s="162">
        <v>3.56</v>
      </c>
      <c r="EM44" s="162">
        <v>3.56</v>
      </c>
      <c r="EN44" s="162">
        <v>3.5</v>
      </c>
      <c r="EO44" s="162">
        <v>3.55</v>
      </c>
      <c r="EP44" s="162">
        <v>3.54</v>
      </c>
      <c r="EQ44" s="62">
        <v>3.54</v>
      </c>
      <c r="ER44" s="62">
        <v>3.43</v>
      </c>
      <c r="ES44" s="162">
        <v>3.59</v>
      </c>
      <c r="ET44" s="62">
        <v>3.57</v>
      </c>
      <c r="EU44" s="62">
        <v>3.33</v>
      </c>
      <c r="EV44" s="62">
        <v>3.33</v>
      </c>
      <c r="EW44" s="62">
        <v>3.31</v>
      </c>
      <c r="EX44" s="62">
        <v>3.31</v>
      </c>
      <c r="EY44" s="62">
        <v>3.34</v>
      </c>
      <c r="EZ44" s="62">
        <v>3.44</v>
      </c>
      <c r="FA44" s="62">
        <v>3.44</v>
      </c>
      <c r="FB44" s="62">
        <v>3.44</v>
      </c>
      <c r="FC44" s="62">
        <v>3.44</v>
      </c>
      <c r="FD44" s="93">
        <v>3.41</v>
      </c>
      <c r="FE44" s="49">
        <v>3.41</v>
      </c>
      <c r="FF44" s="49">
        <v>3.44</v>
      </c>
      <c r="FG44" s="49">
        <v>3.38</v>
      </c>
      <c r="FH44" s="49">
        <v>3.36</v>
      </c>
      <c r="FI44" s="49">
        <v>3.35</v>
      </c>
      <c r="FJ44" s="49">
        <v>3.34</v>
      </c>
      <c r="FK44" s="49">
        <v>3.34</v>
      </c>
      <c r="FL44" s="49">
        <v>3.34</v>
      </c>
      <c r="FM44" s="49">
        <v>3.34</v>
      </c>
      <c r="FN44" s="358">
        <v>3.32</v>
      </c>
      <c r="FO44" s="49">
        <v>3.33</v>
      </c>
      <c r="FP44" s="318">
        <v>3.28</v>
      </c>
      <c r="FQ44" s="94">
        <v>3.3</v>
      </c>
      <c r="FR44" s="49">
        <v>3.26</v>
      </c>
      <c r="FS44" s="49">
        <v>3.26</v>
      </c>
      <c r="FT44" s="49">
        <v>3.19</v>
      </c>
      <c r="FU44" s="49">
        <v>3.16</v>
      </c>
      <c r="FV44" s="49">
        <v>3.16</v>
      </c>
      <c r="FW44" s="49">
        <v>3.16</v>
      </c>
      <c r="FX44" s="49">
        <v>3.11</v>
      </c>
      <c r="FY44" s="49">
        <v>3.16</v>
      </c>
      <c r="FZ44" s="49">
        <v>3.06</v>
      </c>
      <c r="GA44" s="379">
        <v>3.04</v>
      </c>
      <c r="GB44" s="93">
        <v>3.22</v>
      </c>
      <c r="GC44" s="94">
        <v>3.2</v>
      </c>
      <c r="GD44" s="409"/>
      <c r="GE44" s="3"/>
      <c r="GF44" s="3"/>
      <c r="GG44" s="3"/>
      <c r="GH44" s="3"/>
      <c r="GI44" s="132"/>
    </row>
    <row r="45" spans="1:191" ht="15" customHeight="1">
      <c r="A45" s="6"/>
      <c r="B45" s="93" t="s">
        <v>85</v>
      </c>
      <c r="C45" s="61">
        <v>15</v>
      </c>
      <c r="D45" s="63">
        <v>15</v>
      </c>
      <c r="E45" s="63">
        <v>15</v>
      </c>
      <c r="F45" s="63">
        <v>13.16</v>
      </c>
      <c r="G45" s="63">
        <v>13.5</v>
      </c>
      <c r="H45" s="63">
        <v>12.25</v>
      </c>
      <c r="I45" s="63">
        <v>12.8</v>
      </c>
      <c r="J45" s="63">
        <v>12.8</v>
      </c>
      <c r="K45" s="63">
        <v>13</v>
      </c>
      <c r="L45" s="63">
        <v>13</v>
      </c>
      <c r="M45" s="63">
        <v>13</v>
      </c>
      <c r="N45" s="61">
        <v>13</v>
      </c>
      <c r="O45" s="77">
        <v>12.9</v>
      </c>
      <c r="P45" s="25">
        <v>13.6</v>
      </c>
      <c r="Q45" s="25">
        <v>13.2</v>
      </c>
      <c r="R45" s="76">
        <v>13.7</v>
      </c>
      <c r="S45" s="76">
        <v>13.6</v>
      </c>
      <c r="T45" s="76">
        <v>13.7</v>
      </c>
      <c r="U45" s="25">
        <v>13.8</v>
      </c>
      <c r="V45" s="25">
        <v>13.5</v>
      </c>
      <c r="W45" s="25">
        <v>13.8</v>
      </c>
      <c r="X45" s="25">
        <v>13.9</v>
      </c>
      <c r="Y45" s="25">
        <v>13.2</v>
      </c>
      <c r="Z45" s="25">
        <v>13.8</v>
      </c>
      <c r="AA45" s="25">
        <v>14</v>
      </c>
      <c r="AB45" s="25">
        <v>14.3</v>
      </c>
      <c r="AC45" s="25">
        <v>14.1</v>
      </c>
      <c r="AD45" s="76">
        <v>13.9</v>
      </c>
      <c r="AE45" s="62">
        <v>13.8</v>
      </c>
      <c r="AF45" s="62">
        <v>14.3</v>
      </c>
      <c r="AG45" s="62">
        <v>14.3</v>
      </c>
      <c r="AH45" s="62">
        <v>14.3</v>
      </c>
      <c r="AI45" s="62">
        <v>14.6</v>
      </c>
      <c r="AJ45" s="62">
        <v>14.7</v>
      </c>
      <c r="AK45" s="62">
        <v>14.9</v>
      </c>
      <c r="AL45" s="62">
        <v>14.9</v>
      </c>
      <c r="AM45" s="62">
        <v>15.7</v>
      </c>
      <c r="AN45" s="62">
        <v>16.6</v>
      </c>
      <c r="AO45" s="62">
        <v>16.2</v>
      </c>
      <c r="AP45" s="62">
        <v>18.4</v>
      </c>
      <c r="AQ45" s="165">
        <v>19</v>
      </c>
      <c r="AR45" s="159">
        <v>19.4</v>
      </c>
      <c r="AS45" s="159">
        <v>20.1</v>
      </c>
      <c r="AT45" s="159">
        <v>20.1</v>
      </c>
      <c r="AU45" s="159">
        <v>20.6</v>
      </c>
      <c r="AV45" s="159">
        <v>20.8</v>
      </c>
      <c r="AW45" s="159">
        <v>20.6</v>
      </c>
      <c r="AX45" s="159">
        <v>20</v>
      </c>
      <c r="AY45" s="159">
        <v>21.8</v>
      </c>
      <c r="AZ45" s="159">
        <v>21.44</v>
      </c>
      <c r="BA45" s="159">
        <v>21.5</v>
      </c>
      <c r="BB45" s="159">
        <v>20.8</v>
      </c>
      <c r="BC45" s="159">
        <v>20.2</v>
      </c>
      <c r="BD45" s="159">
        <v>20.2</v>
      </c>
      <c r="BE45" s="159">
        <v>19.4</v>
      </c>
      <c r="BF45" s="159">
        <v>18.7</v>
      </c>
      <c r="BG45" s="159">
        <v>18.6</v>
      </c>
      <c r="BH45" s="159">
        <v>18.5</v>
      </c>
      <c r="BI45" s="159">
        <v>18.6</v>
      </c>
      <c r="BJ45" s="159">
        <v>18.2</v>
      </c>
      <c r="BK45" s="159">
        <v>18</v>
      </c>
      <c r="BL45" s="159">
        <v>17.69</v>
      </c>
      <c r="BM45" s="159">
        <v>17.14</v>
      </c>
      <c r="BN45" s="159">
        <v>16.26</v>
      </c>
      <c r="BO45" s="159">
        <v>16.06</v>
      </c>
      <c r="BP45" s="159">
        <v>15.88</v>
      </c>
      <c r="BQ45" s="159">
        <v>15.5</v>
      </c>
      <c r="BR45" s="159">
        <v>15.31</v>
      </c>
      <c r="BS45" s="159">
        <v>14.97</v>
      </c>
      <c r="BT45" s="159">
        <v>15.03</v>
      </c>
      <c r="BU45" s="159">
        <v>14.76</v>
      </c>
      <c r="BV45" s="159">
        <v>14.55</v>
      </c>
      <c r="BW45" s="159">
        <v>14.39</v>
      </c>
      <c r="BX45" s="162">
        <v>13.81</v>
      </c>
      <c r="BY45" s="162">
        <v>13.81</v>
      </c>
      <c r="BZ45" s="162">
        <v>13.82</v>
      </c>
      <c r="CA45" s="162">
        <v>13.13</v>
      </c>
      <c r="CB45" s="162">
        <v>13.13</v>
      </c>
      <c r="CC45" s="162">
        <v>13.13</v>
      </c>
      <c r="CD45" s="162">
        <v>13.13</v>
      </c>
      <c r="CE45" s="155">
        <v>13.19</v>
      </c>
      <c r="CF45" s="155">
        <v>13.19</v>
      </c>
      <c r="CG45" s="155">
        <v>13.19</v>
      </c>
      <c r="CH45" s="155">
        <v>13.19</v>
      </c>
      <c r="CI45" s="155">
        <v>13.19</v>
      </c>
      <c r="CJ45" s="165">
        <v>13.25</v>
      </c>
      <c r="CK45" s="165">
        <v>13.38</v>
      </c>
      <c r="CL45" s="165">
        <v>13.38</v>
      </c>
      <c r="CM45" s="165">
        <v>13.52</v>
      </c>
      <c r="CN45" s="165">
        <v>13.45</v>
      </c>
      <c r="CO45" s="165">
        <v>13.45</v>
      </c>
      <c r="CP45" s="165">
        <v>13.78</v>
      </c>
      <c r="CQ45" s="62">
        <v>13.7</v>
      </c>
      <c r="CR45" s="165">
        <v>13.7</v>
      </c>
      <c r="CS45" s="165">
        <v>13.74</v>
      </c>
      <c r="CT45" s="165">
        <v>13.74</v>
      </c>
      <c r="CU45" s="165">
        <v>13.74</v>
      </c>
      <c r="CV45" s="164">
        <v>13.35</v>
      </c>
      <c r="CW45" s="164">
        <v>13.46</v>
      </c>
      <c r="CX45" s="164">
        <v>13.35</v>
      </c>
      <c r="CY45" s="164">
        <v>13.35</v>
      </c>
      <c r="CZ45" s="164">
        <v>13.24</v>
      </c>
      <c r="DA45" s="164">
        <v>13.06</v>
      </c>
      <c r="DB45" s="164">
        <v>12.59</v>
      </c>
      <c r="DC45" s="164">
        <v>12.55</v>
      </c>
      <c r="DD45" s="164">
        <v>12.55</v>
      </c>
      <c r="DE45" s="164">
        <v>12.55</v>
      </c>
      <c r="DF45" s="155">
        <v>12.9</v>
      </c>
      <c r="DG45" s="164">
        <v>12.86</v>
      </c>
      <c r="DH45" s="164">
        <v>13.15</v>
      </c>
      <c r="DI45" s="164">
        <v>13.07</v>
      </c>
      <c r="DJ45" s="164">
        <v>13.15</v>
      </c>
      <c r="DK45" s="25">
        <v>13.15</v>
      </c>
      <c r="DL45" s="164">
        <v>13.15</v>
      </c>
      <c r="DM45" s="25">
        <v>13.06</v>
      </c>
      <c r="DN45" s="164">
        <v>13.15</v>
      </c>
      <c r="DO45" s="62">
        <v>13.15</v>
      </c>
      <c r="DP45" s="164">
        <v>13.1</v>
      </c>
      <c r="DQ45" s="25">
        <v>13.15</v>
      </c>
      <c r="DR45" s="164">
        <v>13.22</v>
      </c>
      <c r="DS45" s="155">
        <v>13.01</v>
      </c>
      <c r="DT45" s="162">
        <v>12.56</v>
      </c>
      <c r="DU45" s="162">
        <v>12.56</v>
      </c>
      <c r="DV45" s="162">
        <v>12.36</v>
      </c>
      <c r="DW45" s="162">
        <v>12.36</v>
      </c>
      <c r="DX45" s="162">
        <v>12.3</v>
      </c>
      <c r="DY45" s="162">
        <v>12.43</v>
      </c>
      <c r="DZ45" s="162">
        <v>12.45</v>
      </c>
      <c r="EA45" s="162">
        <v>12.21</v>
      </c>
      <c r="EB45" s="162">
        <v>12.27</v>
      </c>
      <c r="EC45" s="162">
        <v>12.35</v>
      </c>
      <c r="ED45" s="162">
        <v>12.3</v>
      </c>
      <c r="EE45" s="162">
        <v>12.3</v>
      </c>
      <c r="EF45" s="164">
        <v>12.28</v>
      </c>
      <c r="EG45" s="164">
        <v>12.28</v>
      </c>
      <c r="EH45" s="164">
        <v>12.32</v>
      </c>
      <c r="EI45" s="162">
        <v>12.36</v>
      </c>
      <c r="EJ45" s="162">
        <v>12.33</v>
      </c>
      <c r="EK45" s="162">
        <v>12.47</v>
      </c>
      <c r="EL45" s="162">
        <v>12.12</v>
      </c>
      <c r="EM45" s="162">
        <v>12.08</v>
      </c>
      <c r="EN45" s="162">
        <v>12.08</v>
      </c>
      <c r="EO45" s="162">
        <v>12.41</v>
      </c>
      <c r="EP45" s="162">
        <v>12.35</v>
      </c>
      <c r="EQ45" s="62">
        <v>12.27</v>
      </c>
      <c r="ER45" s="62">
        <v>12.3</v>
      </c>
      <c r="ES45" s="162">
        <v>12.3</v>
      </c>
      <c r="ET45" s="62">
        <v>12.16</v>
      </c>
      <c r="EU45" s="62">
        <v>12.48</v>
      </c>
      <c r="EV45" s="62">
        <v>12.32</v>
      </c>
      <c r="EW45" s="62">
        <v>12.24</v>
      </c>
      <c r="EX45" s="62">
        <v>12.24</v>
      </c>
      <c r="EY45" s="62">
        <v>12.34</v>
      </c>
      <c r="EZ45" s="62">
        <v>12.39</v>
      </c>
      <c r="FA45" s="62">
        <v>12.31</v>
      </c>
      <c r="FB45" s="62">
        <v>12.31</v>
      </c>
      <c r="FC45" s="62">
        <v>12.24</v>
      </c>
      <c r="FD45" s="93">
        <v>12.24</v>
      </c>
      <c r="FE45" s="49">
        <v>12.24</v>
      </c>
      <c r="FF45" s="49">
        <v>12.46</v>
      </c>
      <c r="FG45" s="49">
        <v>12.46</v>
      </c>
      <c r="FH45" s="49">
        <v>12.52</v>
      </c>
      <c r="FI45" s="49">
        <v>12.5</v>
      </c>
      <c r="FJ45" s="94">
        <v>12.5</v>
      </c>
      <c r="FK45" s="49">
        <v>12.48</v>
      </c>
      <c r="FL45" s="94">
        <v>12.5</v>
      </c>
      <c r="FM45" s="49">
        <v>12.47</v>
      </c>
      <c r="FN45" s="359">
        <v>12.38</v>
      </c>
      <c r="FO45" s="49">
        <v>12.38</v>
      </c>
      <c r="FP45" s="93">
        <v>12.02</v>
      </c>
      <c r="FQ45" s="49">
        <v>12.21</v>
      </c>
      <c r="FR45" s="49">
        <v>12.33</v>
      </c>
      <c r="FS45" s="49">
        <v>12.21</v>
      </c>
      <c r="FT45" s="49">
        <v>12.43</v>
      </c>
      <c r="FU45" s="94">
        <v>12.2</v>
      </c>
      <c r="FV45" s="49">
        <v>12.16</v>
      </c>
      <c r="FW45" s="49">
        <v>12.28</v>
      </c>
      <c r="FX45" s="49">
        <v>12.14</v>
      </c>
      <c r="FY45" s="49">
        <v>12.28</v>
      </c>
      <c r="FZ45" s="49">
        <v>12.07</v>
      </c>
      <c r="GA45" s="379">
        <v>11.97</v>
      </c>
      <c r="GB45" s="93">
        <v>11.38</v>
      </c>
      <c r="GC45" s="94">
        <v>11.55</v>
      </c>
      <c r="GD45" s="409"/>
      <c r="GE45" s="3"/>
      <c r="GF45" s="3"/>
      <c r="GG45" s="3"/>
      <c r="GH45" s="3"/>
      <c r="GI45" s="132"/>
    </row>
    <row r="46" spans="1:191" ht="15" customHeight="1">
      <c r="A46" s="6"/>
      <c r="B46" s="93" t="s">
        <v>86</v>
      </c>
      <c r="C46" s="61" t="s">
        <v>6</v>
      </c>
      <c r="D46" s="63" t="s">
        <v>6</v>
      </c>
      <c r="E46" s="63" t="s">
        <v>6</v>
      </c>
      <c r="F46" s="61" t="s">
        <v>6</v>
      </c>
      <c r="G46" s="63">
        <v>8.8</v>
      </c>
      <c r="H46" s="61">
        <v>9</v>
      </c>
      <c r="I46" s="63">
        <v>8.75</v>
      </c>
      <c r="J46" s="63">
        <v>8.75</v>
      </c>
      <c r="K46" s="63">
        <v>9.13</v>
      </c>
      <c r="L46" s="63">
        <v>8.6</v>
      </c>
      <c r="M46" s="63">
        <v>8.3</v>
      </c>
      <c r="N46" s="61">
        <v>8.5</v>
      </c>
      <c r="O46" s="25">
        <v>8.6</v>
      </c>
      <c r="P46" s="71">
        <v>9</v>
      </c>
      <c r="Q46" s="71">
        <v>9.4</v>
      </c>
      <c r="R46" s="71">
        <v>8.1</v>
      </c>
      <c r="S46" s="71">
        <v>8.2</v>
      </c>
      <c r="T46" s="71">
        <v>9.5</v>
      </c>
      <c r="U46" s="71">
        <v>10</v>
      </c>
      <c r="V46" s="71">
        <v>9.9</v>
      </c>
      <c r="W46" s="71">
        <v>10</v>
      </c>
      <c r="X46" s="71">
        <v>11</v>
      </c>
      <c r="Y46" s="71">
        <v>10.1</v>
      </c>
      <c r="Z46" s="71">
        <v>11</v>
      </c>
      <c r="AA46" s="71">
        <v>10.9</v>
      </c>
      <c r="AB46" s="71">
        <v>11</v>
      </c>
      <c r="AC46" s="71">
        <v>11.8</v>
      </c>
      <c r="AD46" s="71">
        <v>12</v>
      </c>
      <c r="AE46" s="71">
        <v>12</v>
      </c>
      <c r="AF46" s="71">
        <v>11.9</v>
      </c>
      <c r="AG46" s="71">
        <v>11.7</v>
      </c>
      <c r="AH46" s="71">
        <v>11.7</v>
      </c>
      <c r="AI46" s="71">
        <v>12.6</v>
      </c>
      <c r="AJ46" s="65">
        <v>13</v>
      </c>
      <c r="AK46" s="71">
        <v>13.2</v>
      </c>
      <c r="AL46" s="71">
        <v>13.8</v>
      </c>
      <c r="AM46" s="71">
        <v>11.9</v>
      </c>
      <c r="AN46" s="71">
        <v>12.6</v>
      </c>
      <c r="AO46" s="71">
        <v>13.2</v>
      </c>
      <c r="AP46" s="65">
        <v>14</v>
      </c>
      <c r="AQ46" s="71">
        <v>15.2</v>
      </c>
      <c r="AR46" s="74">
        <v>15.2</v>
      </c>
      <c r="AS46" s="153">
        <v>15.9</v>
      </c>
      <c r="AT46" s="153">
        <v>14.5</v>
      </c>
      <c r="AU46" s="74">
        <v>15</v>
      </c>
      <c r="AV46" s="74">
        <v>15.8</v>
      </c>
      <c r="AW46" s="153">
        <v>16.1</v>
      </c>
      <c r="AX46" s="74">
        <v>15.7</v>
      </c>
      <c r="AY46" s="74">
        <v>16.4</v>
      </c>
      <c r="AZ46" s="74">
        <v>15.42</v>
      </c>
      <c r="BA46" s="74">
        <v>16.2</v>
      </c>
      <c r="BB46" s="74">
        <v>16</v>
      </c>
      <c r="BC46" s="74">
        <v>16.58</v>
      </c>
      <c r="BD46" s="74">
        <v>16.3</v>
      </c>
      <c r="BE46" s="74">
        <v>16.3</v>
      </c>
      <c r="BF46" s="74">
        <v>16.3</v>
      </c>
      <c r="BG46" s="74">
        <v>16.2</v>
      </c>
      <c r="BH46" s="74">
        <v>16.1</v>
      </c>
      <c r="BI46" s="74">
        <v>16.1</v>
      </c>
      <c r="BJ46" s="74">
        <v>16.5</v>
      </c>
      <c r="BK46" s="74">
        <v>16.4</v>
      </c>
      <c r="BL46" s="74">
        <v>15.47</v>
      </c>
      <c r="BM46" s="74">
        <v>15.47</v>
      </c>
      <c r="BN46" s="74">
        <v>15</v>
      </c>
      <c r="BO46" s="74">
        <v>14.78</v>
      </c>
      <c r="BP46" s="74">
        <v>13.97</v>
      </c>
      <c r="BQ46" s="74">
        <v>13.83</v>
      </c>
      <c r="BR46" s="74">
        <v>13.73</v>
      </c>
      <c r="BS46" s="74">
        <v>13.87</v>
      </c>
      <c r="BT46" s="74">
        <v>14.24</v>
      </c>
      <c r="BU46" s="74">
        <v>14.06</v>
      </c>
      <c r="BV46" s="74">
        <v>14.06</v>
      </c>
      <c r="BW46" s="74">
        <v>14.06</v>
      </c>
      <c r="BX46" s="75">
        <v>13.23</v>
      </c>
      <c r="BY46" s="75">
        <v>13.23</v>
      </c>
      <c r="BZ46" s="166">
        <v>13.37</v>
      </c>
      <c r="CA46" s="162">
        <v>12.77</v>
      </c>
      <c r="CB46" s="162">
        <v>12.77</v>
      </c>
      <c r="CC46" s="162">
        <v>12.77</v>
      </c>
      <c r="CD46" s="162">
        <v>12.77</v>
      </c>
      <c r="CE46" s="155">
        <v>12.83</v>
      </c>
      <c r="CF46" s="164">
        <v>12.82</v>
      </c>
      <c r="CG46" s="164">
        <v>12.82</v>
      </c>
      <c r="CH46" s="164">
        <v>12.82</v>
      </c>
      <c r="CI46" s="164">
        <v>12.82</v>
      </c>
      <c r="CJ46" s="165">
        <v>13.13</v>
      </c>
      <c r="CK46" s="165">
        <v>13.06</v>
      </c>
      <c r="CL46" s="165">
        <v>12.87</v>
      </c>
      <c r="CM46" s="165">
        <v>13.25</v>
      </c>
      <c r="CN46" s="165">
        <v>13.33</v>
      </c>
      <c r="CO46" s="165">
        <v>13.22</v>
      </c>
      <c r="CP46" s="165">
        <v>13.18</v>
      </c>
      <c r="CQ46" s="165">
        <v>13.18</v>
      </c>
      <c r="CR46" s="165">
        <v>13.18</v>
      </c>
      <c r="CS46" s="165">
        <v>13.18</v>
      </c>
      <c r="CT46" s="165">
        <v>13.18</v>
      </c>
      <c r="CU46" s="165">
        <v>13.12</v>
      </c>
      <c r="CV46" s="164">
        <v>13.12</v>
      </c>
      <c r="CW46" s="164">
        <v>12.84</v>
      </c>
      <c r="CX46" s="164">
        <v>13.12</v>
      </c>
      <c r="CY46" s="164">
        <v>13.24</v>
      </c>
      <c r="CZ46" s="164">
        <v>13.22</v>
      </c>
      <c r="DA46" s="164">
        <v>13</v>
      </c>
      <c r="DB46" s="164">
        <v>12.92</v>
      </c>
      <c r="DC46" s="164">
        <v>12.97</v>
      </c>
      <c r="DD46" s="164">
        <v>12.97</v>
      </c>
      <c r="DE46" s="155">
        <v>12.97</v>
      </c>
      <c r="DF46" s="25">
        <v>12.85</v>
      </c>
      <c r="DG46" s="164">
        <v>12.91</v>
      </c>
      <c r="DH46" s="164">
        <v>12.91</v>
      </c>
      <c r="DI46" s="62">
        <v>12.97</v>
      </c>
      <c r="DJ46" s="62">
        <v>13.14</v>
      </c>
      <c r="DK46" s="25">
        <v>13.03</v>
      </c>
      <c r="DL46" s="62">
        <v>13.03</v>
      </c>
      <c r="DM46" s="25">
        <v>12.92</v>
      </c>
      <c r="DN46" s="62">
        <v>12.97</v>
      </c>
      <c r="DO46" s="62">
        <v>12.92</v>
      </c>
      <c r="DP46" s="62">
        <v>13.03</v>
      </c>
      <c r="DQ46" s="25">
        <v>12.97</v>
      </c>
      <c r="DR46" s="62">
        <v>12.76</v>
      </c>
      <c r="DS46" s="155">
        <v>12.14</v>
      </c>
      <c r="DT46" s="162">
        <v>11.58</v>
      </c>
      <c r="DU46" s="162">
        <v>11.63</v>
      </c>
      <c r="DV46" s="162">
        <v>11.58</v>
      </c>
      <c r="DW46" s="162">
        <v>11.49</v>
      </c>
      <c r="DX46" s="162">
        <v>11.76</v>
      </c>
      <c r="DY46" s="162">
        <v>11.66</v>
      </c>
      <c r="DZ46" s="162">
        <v>11.88</v>
      </c>
      <c r="EA46" s="162">
        <v>12.09</v>
      </c>
      <c r="EB46" s="162">
        <v>12.27</v>
      </c>
      <c r="EC46" s="162">
        <v>11.83</v>
      </c>
      <c r="ED46" s="162">
        <v>11.72</v>
      </c>
      <c r="EE46" s="162">
        <v>11.53</v>
      </c>
      <c r="EF46" s="164">
        <v>12.02</v>
      </c>
      <c r="EG46" s="162">
        <v>11.42</v>
      </c>
      <c r="EH46" s="162">
        <v>11.83</v>
      </c>
      <c r="EI46" s="162">
        <v>12.35</v>
      </c>
      <c r="EJ46" s="162">
        <v>12.09</v>
      </c>
      <c r="EK46" s="162">
        <v>11.63</v>
      </c>
      <c r="EL46" s="162">
        <v>11.52</v>
      </c>
      <c r="EM46" s="162">
        <v>11.41</v>
      </c>
      <c r="EN46" s="162">
        <v>11.41</v>
      </c>
      <c r="EO46" s="162">
        <v>11.7</v>
      </c>
      <c r="EP46" s="162">
        <v>11.54</v>
      </c>
      <c r="EQ46" s="164">
        <v>11.4</v>
      </c>
      <c r="ER46" s="62">
        <v>11.57</v>
      </c>
      <c r="ES46" s="162">
        <v>11.46</v>
      </c>
      <c r="ET46" s="62">
        <v>11.27</v>
      </c>
      <c r="EU46" s="62">
        <v>11.62</v>
      </c>
      <c r="EV46" s="62">
        <v>11.51</v>
      </c>
      <c r="EW46" s="62">
        <v>11.55</v>
      </c>
      <c r="EX46" s="62">
        <v>11.93</v>
      </c>
      <c r="EY46" s="164">
        <v>11.58</v>
      </c>
      <c r="EZ46" s="62">
        <v>11.58</v>
      </c>
      <c r="FA46" s="62">
        <v>11.58</v>
      </c>
      <c r="FB46" s="62">
        <v>11.58</v>
      </c>
      <c r="FC46" s="62">
        <v>11.53</v>
      </c>
      <c r="FD46" s="318">
        <v>11.46</v>
      </c>
      <c r="FE46" s="49">
        <v>11.38</v>
      </c>
      <c r="FF46" s="49">
        <v>11.45</v>
      </c>
      <c r="FG46" s="49">
        <v>11.45</v>
      </c>
      <c r="FH46" s="49">
        <v>11.45</v>
      </c>
      <c r="FI46" s="49">
        <v>11.58</v>
      </c>
      <c r="FJ46" s="49">
        <v>11.48</v>
      </c>
      <c r="FK46" s="49">
        <v>11.48</v>
      </c>
      <c r="FL46" s="49">
        <v>11.48</v>
      </c>
      <c r="FM46" s="49">
        <v>11.21</v>
      </c>
      <c r="FN46" s="360">
        <v>11.24</v>
      </c>
      <c r="FO46" s="371">
        <v>11.32</v>
      </c>
      <c r="FP46" s="410">
        <v>11.6</v>
      </c>
      <c r="FQ46" s="360">
        <v>11.55</v>
      </c>
      <c r="FR46" s="360">
        <v>11.36</v>
      </c>
      <c r="FS46" s="360">
        <v>11.52</v>
      </c>
      <c r="FT46" s="49">
        <v>11.69</v>
      </c>
      <c r="FU46" s="360">
        <v>11.61</v>
      </c>
      <c r="FV46" s="94">
        <v>11.6</v>
      </c>
      <c r="FW46" s="94">
        <v>11.61</v>
      </c>
      <c r="FX46" s="94">
        <v>11.61</v>
      </c>
      <c r="FY46" s="94">
        <v>11.61</v>
      </c>
      <c r="FZ46" s="94">
        <v>11.45</v>
      </c>
      <c r="GA46" s="437">
        <v>11.36</v>
      </c>
      <c r="GB46" s="318">
        <v>11.22</v>
      </c>
      <c r="GC46" s="94">
        <v>11.54</v>
      </c>
      <c r="GD46" s="411"/>
      <c r="GE46" s="3"/>
      <c r="GF46" s="3"/>
      <c r="GG46" s="3"/>
      <c r="GH46" s="3"/>
      <c r="GI46" s="132"/>
    </row>
    <row r="47" spans="1:191" ht="15" customHeight="1">
      <c r="A47" s="6"/>
      <c r="B47" s="93"/>
      <c r="C47" s="61"/>
      <c r="D47" s="63"/>
      <c r="E47" s="63"/>
      <c r="F47" s="61"/>
      <c r="G47" s="63"/>
      <c r="H47" s="61"/>
      <c r="I47" s="63"/>
      <c r="J47" s="63"/>
      <c r="K47" s="63"/>
      <c r="L47" s="63"/>
      <c r="M47" s="63"/>
      <c r="N47" s="61"/>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s="271"/>
      <c r="DC47" s="271"/>
      <c r="DD47" s="271"/>
      <c r="DE47" s="271"/>
      <c r="DF47" s="271"/>
      <c r="DG47" s="271"/>
      <c r="DH47" s="271"/>
      <c r="DI47" s="271"/>
      <c r="DJ47" s="271"/>
      <c r="DK47" s="271"/>
      <c r="DL47" s="271"/>
      <c r="DM47" s="271"/>
      <c r="DN47" s="271"/>
      <c r="DO47" s="271"/>
      <c r="DP47" s="271"/>
      <c r="DQ47" s="271"/>
      <c r="DR47" s="271"/>
      <c r="DS47" s="271"/>
      <c r="DT47" s="271"/>
      <c r="DU47" s="271"/>
      <c r="DV47" s="271"/>
      <c r="DW47" s="271"/>
      <c r="DX47" s="271"/>
      <c r="DY47" s="271"/>
      <c r="DZ47" s="271"/>
      <c r="EA47" s="271"/>
      <c r="EB47" s="271"/>
      <c r="EC47" s="271"/>
      <c r="ED47" s="271"/>
      <c r="EE47" s="271"/>
      <c r="EF47" s="271"/>
      <c r="EG47" s="271"/>
      <c r="EH47" s="271"/>
      <c r="EI47" s="271"/>
      <c r="EJ47" s="271"/>
      <c r="EK47" s="271"/>
      <c r="EL47" s="271"/>
      <c r="EM47" s="271"/>
      <c r="EN47" s="271"/>
      <c r="EO47" s="271"/>
      <c r="EP47" s="271"/>
      <c r="EQ47" s="271"/>
      <c r="ER47" s="271"/>
      <c r="ES47" s="271"/>
      <c r="ET47" s="271"/>
      <c r="EU47" s="271"/>
      <c r="EV47" s="271"/>
      <c r="EW47" s="271"/>
      <c r="EX47" s="271"/>
      <c r="EY47" s="271"/>
      <c r="EZ47" s="271"/>
      <c r="FA47" s="271"/>
      <c r="FB47" s="271"/>
      <c r="FC47" s="271"/>
      <c r="FD47" s="112"/>
      <c r="FE47" s="112"/>
      <c r="FF47" s="112"/>
      <c r="FG47" s="112"/>
      <c r="FH47" s="112"/>
      <c r="FI47" s="112"/>
      <c r="FJ47" s="112"/>
      <c r="FK47" s="112"/>
      <c r="FL47" s="112"/>
      <c r="FM47" s="112"/>
      <c r="FN47" s="112"/>
      <c r="FO47" s="371"/>
      <c r="FP47" s="319"/>
      <c r="FQ47" s="112"/>
      <c r="FR47" s="112"/>
      <c r="FS47" s="112"/>
      <c r="FT47" s="112"/>
      <c r="FU47" s="112"/>
      <c r="FV47" s="112"/>
      <c r="FW47" s="112"/>
      <c r="FX47" s="112"/>
      <c r="FY47" s="391"/>
      <c r="FZ47" s="391"/>
      <c r="GA47" s="412"/>
      <c r="GB47" s="429"/>
      <c r="GC47" s="391"/>
      <c r="GD47" s="412"/>
      <c r="GE47" s="3"/>
      <c r="GF47" s="3"/>
      <c r="GG47" s="3"/>
      <c r="GH47" s="3"/>
      <c r="GI47" s="132"/>
    </row>
    <row r="48" spans="1:191" ht="15" customHeight="1">
      <c r="A48" s="6" t="s">
        <v>23</v>
      </c>
      <c r="B48" s="244" t="s">
        <v>28</v>
      </c>
      <c r="C48" s="78">
        <f aca="true" t="shared" si="0" ref="C48:BN48">C49</f>
        <v>6708</v>
      </c>
      <c r="D48" s="78">
        <f t="shared" si="0"/>
        <v>7148</v>
      </c>
      <c r="E48" s="78">
        <f t="shared" si="0"/>
        <v>7341</v>
      </c>
      <c r="F48" s="78">
        <f t="shared" si="0"/>
        <v>7371</v>
      </c>
      <c r="G48" s="78">
        <f t="shared" si="0"/>
        <v>7827</v>
      </c>
      <c r="H48" s="78">
        <f t="shared" si="0"/>
        <v>8351</v>
      </c>
      <c r="I48" s="78">
        <f t="shared" si="0"/>
        <v>9042</v>
      </c>
      <c r="J48" s="78">
        <f t="shared" si="0"/>
        <v>10493</v>
      </c>
      <c r="K48" s="78">
        <f t="shared" si="0"/>
        <v>10773</v>
      </c>
      <c r="L48" s="78">
        <f t="shared" si="0"/>
        <v>10843</v>
      </c>
      <c r="M48" s="78">
        <f t="shared" si="0"/>
        <v>10778</v>
      </c>
      <c r="N48" s="78">
        <f t="shared" si="0"/>
        <v>11567</v>
      </c>
      <c r="O48" s="78">
        <f t="shared" si="0"/>
        <v>12219</v>
      </c>
      <c r="P48" s="78">
        <f t="shared" si="0"/>
        <v>12905</v>
      </c>
      <c r="Q48" s="78">
        <f t="shared" si="0"/>
        <v>14064</v>
      </c>
      <c r="R48" s="78">
        <f t="shared" si="0"/>
        <v>13899.101</v>
      </c>
      <c r="S48" s="78">
        <f t="shared" si="0"/>
        <v>13240.339</v>
      </c>
      <c r="T48" s="78">
        <f t="shared" si="0"/>
        <v>13303.898000000001</v>
      </c>
      <c r="U48" s="78">
        <f t="shared" si="0"/>
        <v>13836.813</v>
      </c>
      <c r="V48" s="78">
        <f t="shared" si="0"/>
        <v>13154</v>
      </c>
      <c r="W48" s="78">
        <f t="shared" si="0"/>
        <v>13020.849</v>
      </c>
      <c r="X48" s="78">
        <f t="shared" si="0"/>
        <v>13189</v>
      </c>
      <c r="Y48" s="78">
        <f t="shared" si="0"/>
        <v>13225</v>
      </c>
      <c r="Z48" s="78">
        <f t="shared" si="0"/>
        <v>13646</v>
      </c>
      <c r="AA48" s="78">
        <f t="shared" si="0"/>
        <v>13795</v>
      </c>
      <c r="AB48" s="78">
        <f t="shared" si="0"/>
        <v>13890</v>
      </c>
      <c r="AC48" s="78">
        <f t="shared" si="0"/>
        <v>14140</v>
      </c>
      <c r="AD48" s="78">
        <f t="shared" si="0"/>
        <v>14460</v>
      </c>
      <c r="AE48" s="78">
        <f t="shared" si="0"/>
        <v>14633</v>
      </c>
      <c r="AF48" s="78">
        <f t="shared" si="0"/>
        <v>15107</v>
      </c>
      <c r="AG48" s="78">
        <f t="shared" si="0"/>
        <v>15452</v>
      </c>
      <c r="AH48" s="78">
        <f t="shared" si="0"/>
        <v>15888</v>
      </c>
      <c r="AI48" s="78">
        <f t="shared" si="0"/>
        <v>15908</v>
      </c>
      <c r="AJ48" s="78">
        <f t="shared" si="0"/>
        <v>15747</v>
      </c>
      <c r="AK48" s="78">
        <f t="shared" si="0"/>
        <v>15876</v>
      </c>
      <c r="AL48" s="78">
        <f t="shared" si="0"/>
        <v>16471</v>
      </c>
      <c r="AM48" s="78">
        <f t="shared" si="0"/>
        <v>17521</v>
      </c>
      <c r="AN48" s="78">
        <f t="shared" si="0"/>
        <v>17718</v>
      </c>
      <c r="AO48" s="78">
        <f t="shared" si="0"/>
        <v>17154</v>
      </c>
      <c r="AP48" s="85">
        <f t="shared" si="0"/>
        <v>17643</v>
      </c>
      <c r="AQ48" s="78">
        <f t="shared" si="0"/>
        <v>18466</v>
      </c>
      <c r="AR48" s="85">
        <f t="shared" si="0"/>
        <v>19450</v>
      </c>
      <c r="AS48" s="85">
        <f t="shared" si="0"/>
        <v>20423</v>
      </c>
      <c r="AT48" s="85">
        <f t="shared" si="0"/>
        <v>19982</v>
      </c>
      <c r="AU48" s="85">
        <f t="shared" si="0"/>
        <v>20115</v>
      </c>
      <c r="AV48" s="85">
        <f t="shared" si="0"/>
        <v>25916</v>
      </c>
      <c r="AW48" s="85">
        <f t="shared" si="0"/>
        <v>26227</v>
      </c>
      <c r="AX48" s="85">
        <f t="shared" si="0"/>
        <v>27573</v>
      </c>
      <c r="AY48" s="85">
        <f t="shared" si="0"/>
        <v>28808</v>
      </c>
      <c r="AZ48" s="85">
        <f t="shared" si="0"/>
        <v>29873</v>
      </c>
      <c r="BA48" s="85">
        <f t="shared" si="0"/>
        <v>32544</v>
      </c>
      <c r="BB48" s="85">
        <f t="shared" si="0"/>
        <v>33401</v>
      </c>
      <c r="BC48" s="85">
        <f t="shared" si="0"/>
        <v>31606</v>
      </c>
      <c r="BD48" s="85">
        <f t="shared" si="0"/>
        <v>33091</v>
      </c>
      <c r="BE48" s="85">
        <f t="shared" si="0"/>
        <v>36517</v>
      </c>
      <c r="BF48" s="85">
        <f t="shared" si="0"/>
        <v>38347</v>
      </c>
      <c r="BG48" s="85">
        <f t="shared" si="0"/>
        <v>38482</v>
      </c>
      <c r="BH48" s="85">
        <f t="shared" si="0"/>
        <v>37031</v>
      </c>
      <c r="BI48" s="85">
        <f t="shared" si="0"/>
        <v>38565</v>
      </c>
      <c r="BJ48" s="85">
        <f t="shared" si="0"/>
        <v>39801</v>
      </c>
      <c r="BK48" s="85">
        <f t="shared" si="0"/>
        <v>42859</v>
      </c>
      <c r="BL48" s="85">
        <f t="shared" si="0"/>
        <v>42528</v>
      </c>
      <c r="BM48" s="85">
        <f t="shared" si="0"/>
        <v>42971</v>
      </c>
      <c r="BN48" s="85">
        <f t="shared" si="0"/>
        <v>42033</v>
      </c>
      <c r="BO48" s="85">
        <f aca="true" t="shared" si="1" ref="BO48:DZ48">BO49</f>
        <v>42021</v>
      </c>
      <c r="BP48" s="85">
        <f t="shared" si="1"/>
        <v>41980</v>
      </c>
      <c r="BQ48" s="85">
        <f t="shared" si="1"/>
        <v>42151</v>
      </c>
      <c r="BR48" s="85">
        <f t="shared" si="1"/>
        <v>43445</v>
      </c>
      <c r="BS48" s="85">
        <f t="shared" si="1"/>
        <v>40951</v>
      </c>
      <c r="BT48" s="85">
        <f t="shared" si="1"/>
        <v>41555</v>
      </c>
      <c r="BU48" s="85">
        <f t="shared" si="1"/>
        <v>42594</v>
      </c>
      <c r="BV48" s="85">
        <f t="shared" si="1"/>
        <v>43645</v>
      </c>
      <c r="BW48" s="85">
        <f t="shared" si="1"/>
        <v>45270</v>
      </c>
      <c r="BX48" s="85">
        <f t="shared" si="1"/>
        <v>42799</v>
      </c>
      <c r="BY48" s="85">
        <f t="shared" si="1"/>
        <v>43054</v>
      </c>
      <c r="BZ48" s="68">
        <f t="shared" si="1"/>
        <v>40665</v>
      </c>
      <c r="CA48" s="68">
        <f t="shared" si="1"/>
        <v>40778</v>
      </c>
      <c r="CB48" s="68">
        <f t="shared" si="1"/>
        <v>42985</v>
      </c>
      <c r="CC48" s="68">
        <f t="shared" si="1"/>
        <v>44856</v>
      </c>
      <c r="CD48" s="68">
        <f t="shared" si="1"/>
        <v>45177</v>
      </c>
      <c r="CE48" s="68">
        <f t="shared" si="1"/>
        <v>45920</v>
      </c>
      <c r="CF48" s="68">
        <f t="shared" si="1"/>
        <v>46316</v>
      </c>
      <c r="CG48" s="68">
        <f t="shared" si="1"/>
        <v>46825</v>
      </c>
      <c r="CH48" s="68">
        <f t="shared" si="1"/>
        <v>48327</v>
      </c>
      <c r="CI48" s="68">
        <f t="shared" si="1"/>
        <v>53810</v>
      </c>
      <c r="CJ48" s="68">
        <f t="shared" si="1"/>
        <v>51742</v>
      </c>
      <c r="CK48" s="272">
        <f t="shared" si="1"/>
        <v>49924</v>
      </c>
      <c r="CL48" s="272">
        <f t="shared" si="1"/>
        <v>48369</v>
      </c>
      <c r="CM48" s="272">
        <f t="shared" si="1"/>
        <v>53014</v>
      </c>
      <c r="CN48" s="272">
        <f t="shared" si="1"/>
        <v>52572</v>
      </c>
      <c r="CO48" s="272">
        <f t="shared" si="1"/>
        <v>53295</v>
      </c>
      <c r="CP48" s="272">
        <f t="shared" si="1"/>
        <v>54630</v>
      </c>
      <c r="CQ48" s="272">
        <f t="shared" si="1"/>
        <v>55350</v>
      </c>
      <c r="CR48" s="272">
        <f t="shared" si="1"/>
        <v>55240</v>
      </c>
      <c r="CS48" s="272">
        <f t="shared" si="1"/>
        <v>56950</v>
      </c>
      <c r="CT48" s="272">
        <f t="shared" si="1"/>
        <v>58228</v>
      </c>
      <c r="CU48" s="272">
        <f t="shared" si="1"/>
        <v>58698</v>
      </c>
      <c r="CV48" s="272">
        <f t="shared" si="1"/>
        <v>56209</v>
      </c>
      <c r="CW48" s="272">
        <f t="shared" si="1"/>
        <v>56594</v>
      </c>
      <c r="CX48" s="272">
        <f t="shared" si="1"/>
        <v>56537</v>
      </c>
      <c r="CY48" s="272">
        <f t="shared" si="1"/>
        <v>59768</v>
      </c>
      <c r="CZ48" s="272">
        <f t="shared" si="1"/>
        <v>59596</v>
      </c>
      <c r="DA48" s="272">
        <f t="shared" si="1"/>
        <v>60872</v>
      </c>
      <c r="DB48" s="272">
        <f t="shared" si="1"/>
        <v>60366</v>
      </c>
      <c r="DC48" s="272">
        <f t="shared" si="1"/>
        <v>60583</v>
      </c>
      <c r="DD48" s="85">
        <f t="shared" si="1"/>
        <v>59879</v>
      </c>
      <c r="DE48" s="85">
        <f t="shared" si="1"/>
        <v>60747</v>
      </c>
      <c r="DF48" s="85">
        <f t="shared" si="1"/>
        <v>61364</v>
      </c>
      <c r="DG48" s="85">
        <f t="shared" si="1"/>
        <v>63391</v>
      </c>
      <c r="DH48" s="85">
        <f t="shared" si="1"/>
        <v>62047</v>
      </c>
      <c r="DI48" s="85">
        <f t="shared" si="1"/>
        <v>64258</v>
      </c>
      <c r="DJ48" s="85">
        <f t="shared" si="1"/>
        <v>65258</v>
      </c>
      <c r="DK48" s="85">
        <f t="shared" si="1"/>
        <v>67801</v>
      </c>
      <c r="DL48" s="85">
        <f t="shared" si="1"/>
        <v>69004</v>
      </c>
      <c r="DM48" s="271">
        <f t="shared" si="1"/>
        <v>69505</v>
      </c>
      <c r="DN48" s="271">
        <f t="shared" si="1"/>
        <v>68629</v>
      </c>
      <c r="DO48" s="271">
        <f t="shared" si="1"/>
        <v>69648</v>
      </c>
      <c r="DP48" s="271">
        <f t="shared" si="1"/>
        <v>70419</v>
      </c>
      <c r="DQ48" s="271">
        <f t="shared" si="1"/>
        <v>70278</v>
      </c>
      <c r="DR48" s="271">
        <f t="shared" si="1"/>
        <v>70904</v>
      </c>
      <c r="DS48" s="271">
        <f t="shared" si="1"/>
        <v>73259</v>
      </c>
      <c r="DT48" s="271">
        <f t="shared" si="1"/>
        <v>71158</v>
      </c>
      <c r="DU48" s="271">
        <f t="shared" si="1"/>
        <v>71061</v>
      </c>
      <c r="DV48" s="81">
        <f t="shared" si="1"/>
        <v>70930</v>
      </c>
      <c r="DW48" s="271">
        <f t="shared" si="1"/>
        <v>68843</v>
      </c>
      <c r="DX48" s="271">
        <f t="shared" si="1"/>
        <v>67474</v>
      </c>
      <c r="DY48" s="271">
        <f t="shared" si="1"/>
        <v>64640</v>
      </c>
      <c r="DZ48" s="271">
        <f t="shared" si="1"/>
        <v>67859</v>
      </c>
      <c r="EA48" s="271">
        <f aca="true" t="shared" si="2" ref="EA48:ER48">EA49</f>
        <v>66439</v>
      </c>
      <c r="EB48" s="271">
        <f t="shared" si="2"/>
        <v>67474</v>
      </c>
      <c r="EC48" s="271">
        <f t="shared" si="2"/>
        <v>67068</v>
      </c>
      <c r="ED48" s="271">
        <f t="shared" si="2"/>
        <v>66341</v>
      </c>
      <c r="EE48" s="81">
        <f t="shared" si="2"/>
        <v>66231</v>
      </c>
      <c r="EF48" s="271">
        <f t="shared" si="2"/>
        <v>60641</v>
      </c>
      <c r="EG48" s="85">
        <f t="shared" si="2"/>
        <v>61133</v>
      </c>
      <c r="EH48" s="85">
        <f t="shared" si="2"/>
        <v>63993</v>
      </c>
      <c r="EI48" s="85">
        <f t="shared" si="2"/>
        <v>64520</v>
      </c>
      <c r="EJ48" s="79">
        <f t="shared" si="2"/>
        <v>64782</v>
      </c>
      <c r="EK48" s="79">
        <f t="shared" si="2"/>
        <v>63078</v>
      </c>
      <c r="EL48" s="79">
        <f t="shared" si="2"/>
        <v>60277</v>
      </c>
      <c r="EM48" s="79">
        <f t="shared" si="2"/>
        <v>59184</v>
      </c>
      <c r="EN48" s="79">
        <f t="shared" si="2"/>
        <v>58823</v>
      </c>
      <c r="EO48" s="79">
        <f t="shared" si="2"/>
        <v>58475</v>
      </c>
      <c r="EP48" s="79">
        <f t="shared" si="2"/>
        <v>58116</v>
      </c>
      <c r="EQ48" s="79">
        <f t="shared" si="2"/>
        <v>57888</v>
      </c>
      <c r="ER48" s="79">
        <f t="shared" si="2"/>
        <v>56204</v>
      </c>
      <c r="ES48" s="79">
        <f aca="true" t="shared" si="3" ref="ES48:EX48">ES49</f>
        <v>57479</v>
      </c>
      <c r="ET48" s="79">
        <f t="shared" si="3"/>
        <v>58974</v>
      </c>
      <c r="EU48" s="79">
        <f t="shared" si="3"/>
        <v>59838</v>
      </c>
      <c r="EV48" s="79">
        <f t="shared" si="3"/>
        <v>59889</v>
      </c>
      <c r="EW48" s="79">
        <f t="shared" si="3"/>
        <v>60220</v>
      </c>
      <c r="EX48" s="79">
        <f t="shared" si="3"/>
        <v>61318</v>
      </c>
      <c r="EY48" s="79">
        <f aca="true" t="shared" si="4" ref="EY48:FN48">EY49</f>
        <v>59726</v>
      </c>
      <c r="EZ48" s="79">
        <f t="shared" si="4"/>
        <v>60818</v>
      </c>
      <c r="FA48" s="79">
        <f t="shared" si="4"/>
        <v>61979</v>
      </c>
      <c r="FB48" s="79">
        <f t="shared" si="4"/>
        <v>61297</v>
      </c>
      <c r="FC48" s="79">
        <f t="shared" si="4"/>
        <v>62591</v>
      </c>
      <c r="FD48" s="310">
        <f t="shared" si="4"/>
        <v>62032</v>
      </c>
      <c r="FE48" s="95">
        <f t="shared" si="4"/>
        <v>61368</v>
      </c>
      <c r="FF48" s="95">
        <f t="shared" si="4"/>
        <v>60500</v>
      </c>
      <c r="FG48" s="95">
        <f t="shared" si="4"/>
        <v>58026</v>
      </c>
      <c r="FH48" s="95">
        <f t="shared" si="4"/>
        <v>57878</v>
      </c>
      <c r="FI48" s="95">
        <f t="shared" si="4"/>
        <v>58597</v>
      </c>
      <c r="FJ48" s="95">
        <f t="shared" si="4"/>
        <v>57730</v>
      </c>
      <c r="FK48" s="110">
        <f t="shared" si="4"/>
        <v>57273</v>
      </c>
      <c r="FL48" s="110">
        <f t="shared" si="4"/>
        <v>57453</v>
      </c>
      <c r="FM48" s="110">
        <f t="shared" si="4"/>
        <v>56350</v>
      </c>
      <c r="FN48" s="110">
        <f t="shared" si="4"/>
        <v>56951</v>
      </c>
      <c r="FO48" s="320">
        <f aca="true" t="shared" si="5" ref="FO48:FW48">FO49</f>
        <v>60506</v>
      </c>
      <c r="FP48" s="118">
        <f t="shared" si="5"/>
        <v>58131</v>
      </c>
      <c r="FQ48" s="110">
        <f t="shared" si="5"/>
        <v>57037</v>
      </c>
      <c r="FR48" s="110">
        <f t="shared" si="5"/>
        <v>56519</v>
      </c>
      <c r="FS48" s="110">
        <f t="shared" si="5"/>
        <v>56140</v>
      </c>
      <c r="FT48" s="110">
        <f t="shared" si="5"/>
        <v>57104</v>
      </c>
      <c r="FU48" s="110">
        <f t="shared" si="5"/>
        <v>58449</v>
      </c>
      <c r="FV48" s="110">
        <f t="shared" si="5"/>
        <v>59100</v>
      </c>
      <c r="FW48" s="95">
        <f t="shared" si="5"/>
        <v>60563</v>
      </c>
      <c r="FX48" s="95">
        <f aca="true" t="shared" si="6" ref="FX48:GD48">FX49</f>
        <v>61222</v>
      </c>
      <c r="FY48" s="95">
        <f t="shared" si="6"/>
        <v>60867</v>
      </c>
      <c r="FZ48" s="95">
        <f t="shared" si="6"/>
        <v>62916</v>
      </c>
      <c r="GA48" s="311">
        <f t="shared" si="6"/>
        <v>62143</v>
      </c>
      <c r="GB48" s="310">
        <f t="shared" si="6"/>
        <v>62683</v>
      </c>
      <c r="GC48" s="95">
        <f t="shared" si="6"/>
        <v>61999</v>
      </c>
      <c r="GD48" s="311">
        <f t="shared" si="6"/>
        <v>63359</v>
      </c>
      <c r="GE48" s="3"/>
      <c r="GF48" s="3"/>
      <c r="GG48" s="3"/>
      <c r="GH48" s="3"/>
      <c r="GI48" s="132"/>
    </row>
    <row r="49" spans="1:191" ht="15" customHeight="1">
      <c r="A49" s="6"/>
      <c r="B49" s="245" t="s">
        <v>118</v>
      </c>
      <c r="C49" s="78">
        <f aca="true" t="shared" si="7" ref="C49:AL49">C50+C57</f>
        <v>6708</v>
      </c>
      <c r="D49" s="78">
        <f t="shared" si="7"/>
        <v>7148</v>
      </c>
      <c r="E49" s="78">
        <f t="shared" si="7"/>
        <v>7341</v>
      </c>
      <c r="F49" s="78">
        <f t="shared" si="7"/>
        <v>7371</v>
      </c>
      <c r="G49" s="78">
        <f t="shared" si="7"/>
        <v>7827</v>
      </c>
      <c r="H49" s="78">
        <f t="shared" si="7"/>
        <v>8351</v>
      </c>
      <c r="I49" s="78">
        <f t="shared" si="7"/>
        <v>9042</v>
      </c>
      <c r="J49" s="78">
        <f t="shared" si="7"/>
        <v>10493</v>
      </c>
      <c r="K49" s="78">
        <f t="shared" si="7"/>
        <v>10773</v>
      </c>
      <c r="L49" s="78">
        <f t="shared" si="7"/>
        <v>10843</v>
      </c>
      <c r="M49" s="78">
        <f t="shared" si="7"/>
        <v>10778</v>
      </c>
      <c r="N49" s="78">
        <f t="shared" si="7"/>
        <v>11567</v>
      </c>
      <c r="O49" s="78">
        <f t="shared" si="7"/>
        <v>12219</v>
      </c>
      <c r="P49" s="78">
        <f t="shared" si="7"/>
        <v>12905</v>
      </c>
      <c r="Q49" s="78">
        <f t="shared" si="7"/>
        <v>14064</v>
      </c>
      <c r="R49" s="78">
        <f>R50+R57</f>
        <v>13899.101</v>
      </c>
      <c r="S49" s="78">
        <f>S50+S57</f>
        <v>13240.339</v>
      </c>
      <c r="T49" s="78">
        <f t="shared" si="7"/>
        <v>13303.898000000001</v>
      </c>
      <c r="U49" s="78">
        <f t="shared" si="7"/>
        <v>13836.813</v>
      </c>
      <c r="V49" s="78">
        <f t="shared" si="7"/>
        <v>13154</v>
      </c>
      <c r="W49" s="78">
        <f t="shared" si="7"/>
        <v>13020.849</v>
      </c>
      <c r="X49" s="78">
        <f t="shared" si="7"/>
        <v>13189</v>
      </c>
      <c r="Y49" s="78">
        <f t="shared" si="7"/>
        <v>13225</v>
      </c>
      <c r="Z49" s="78">
        <f t="shared" si="7"/>
        <v>13646</v>
      </c>
      <c r="AA49" s="78">
        <f>AA50+AA57</f>
        <v>13795</v>
      </c>
      <c r="AB49" s="78">
        <f t="shared" si="7"/>
        <v>13890</v>
      </c>
      <c r="AC49" s="78">
        <f t="shared" si="7"/>
        <v>14140</v>
      </c>
      <c r="AD49" s="78">
        <f t="shared" si="7"/>
        <v>14460</v>
      </c>
      <c r="AE49" s="78">
        <f t="shared" si="7"/>
        <v>14633</v>
      </c>
      <c r="AF49" s="78">
        <f t="shared" si="7"/>
        <v>15107</v>
      </c>
      <c r="AG49" s="78">
        <f t="shared" si="7"/>
        <v>15452</v>
      </c>
      <c r="AH49" s="78">
        <f t="shared" si="7"/>
        <v>15888</v>
      </c>
      <c r="AI49" s="78">
        <f t="shared" si="7"/>
        <v>15908</v>
      </c>
      <c r="AJ49" s="78">
        <f t="shared" si="7"/>
        <v>15747</v>
      </c>
      <c r="AK49" s="78">
        <f t="shared" si="7"/>
        <v>15876</v>
      </c>
      <c r="AL49" s="78">
        <f t="shared" si="7"/>
        <v>16471</v>
      </c>
      <c r="AM49" s="78">
        <f>AM50+AM57</f>
        <v>17521</v>
      </c>
      <c r="AN49" s="78">
        <f aca="true" t="shared" si="8" ref="AN49:CR49">AN50+AN57</f>
        <v>17718</v>
      </c>
      <c r="AO49" s="78">
        <f t="shared" si="8"/>
        <v>17154</v>
      </c>
      <c r="AP49" s="85">
        <f t="shared" si="8"/>
        <v>17643</v>
      </c>
      <c r="AQ49" s="78">
        <f t="shared" si="8"/>
        <v>18466</v>
      </c>
      <c r="AR49" s="85">
        <f t="shared" si="8"/>
        <v>19450</v>
      </c>
      <c r="AS49" s="85">
        <f t="shared" si="8"/>
        <v>20423</v>
      </c>
      <c r="AT49" s="85">
        <f t="shared" si="8"/>
        <v>19982</v>
      </c>
      <c r="AU49" s="85">
        <f t="shared" si="8"/>
        <v>20115</v>
      </c>
      <c r="AV49" s="85">
        <f t="shared" si="8"/>
        <v>25916</v>
      </c>
      <c r="AW49" s="85">
        <f t="shared" si="8"/>
        <v>26227</v>
      </c>
      <c r="AX49" s="85">
        <f t="shared" si="8"/>
        <v>27573</v>
      </c>
      <c r="AY49" s="85">
        <f t="shared" si="8"/>
        <v>28808</v>
      </c>
      <c r="AZ49" s="85">
        <f t="shared" si="8"/>
        <v>29873</v>
      </c>
      <c r="BA49" s="85">
        <f t="shared" si="8"/>
        <v>32544</v>
      </c>
      <c r="BB49" s="85">
        <f t="shared" si="8"/>
        <v>33401</v>
      </c>
      <c r="BC49" s="85">
        <f t="shared" si="8"/>
        <v>31606</v>
      </c>
      <c r="BD49" s="85">
        <f t="shared" si="8"/>
        <v>33091</v>
      </c>
      <c r="BE49" s="85">
        <f t="shared" si="8"/>
        <v>36517</v>
      </c>
      <c r="BF49" s="85">
        <f t="shared" si="8"/>
        <v>38347</v>
      </c>
      <c r="BG49" s="85">
        <f t="shared" si="8"/>
        <v>38482</v>
      </c>
      <c r="BH49" s="85">
        <f t="shared" si="8"/>
        <v>37031</v>
      </c>
      <c r="BI49" s="85">
        <f t="shared" si="8"/>
        <v>38565</v>
      </c>
      <c r="BJ49" s="85">
        <f t="shared" si="8"/>
        <v>39801</v>
      </c>
      <c r="BK49" s="85">
        <f t="shared" si="8"/>
        <v>42859</v>
      </c>
      <c r="BL49" s="85">
        <f t="shared" si="8"/>
        <v>42528</v>
      </c>
      <c r="BM49" s="85">
        <f t="shared" si="8"/>
        <v>42971</v>
      </c>
      <c r="BN49" s="85">
        <f t="shared" si="8"/>
        <v>42033</v>
      </c>
      <c r="BO49" s="85">
        <f t="shared" si="8"/>
        <v>42021</v>
      </c>
      <c r="BP49" s="85">
        <f t="shared" si="8"/>
        <v>41980</v>
      </c>
      <c r="BQ49" s="85">
        <f t="shared" si="8"/>
        <v>42151</v>
      </c>
      <c r="BR49" s="85">
        <f t="shared" si="8"/>
        <v>43445</v>
      </c>
      <c r="BS49" s="85">
        <f t="shared" si="8"/>
        <v>40951</v>
      </c>
      <c r="BT49" s="85">
        <f t="shared" si="8"/>
        <v>41555</v>
      </c>
      <c r="BU49" s="85">
        <f t="shared" si="8"/>
        <v>42594</v>
      </c>
      <c r="BV49" s="85">
        <f t="shared" si="8"/>
        <v>43645</v>
      </c>
      <c r="BW49" s="85">
        <f t="shared" si="8"/>
        <v>45270</v>
      </c>
      <c r="BX49" s="85">
        <f t="shared" si="8"/>
        <v>42799</v>
      </c>
      <c r="BY49" s="85">
        <f t="shared" si="8"/>
        <v>43054</v>
      </c>
      <c r="BZ49" s="68">
        <f t="shared" si="8"/>
        <v>40665</v>
      </c>
      <c r="CA49" s="68">
        <f t="shared" si="8"/>
        <v>40778</v>
      </c>
      <c r="CB49" s="68">
        <f t="shared" si="8"/>
        <v>42985</v>
      </c>
      <c r="CC49" s="68">
        <f t="shared" si="8"/>
        <v>44856</v>
      </c>
      <c r="CD49" s="68">
        <f t="shared" si="8"/>
        <v>45177</v>
      </c>
      <c r="CE49" s="68">
        <f t="shared" si="8"/>
        <v>45920</v>
      </c>
      <c r="CF49" s="68">
        <f t="shared" si="8"/>
        <v>46316</v>
      </c>
      <c r="CG49" s="68">
        <f t="shared" si="8"/>
        <v>46825</v>
      </c>
      <c r="CH49" s="68">
        <f t="shared" si="8"/>
        <v>48327</v>
      </c>
      <c r="CI49" s="68">
        <f t="shared" si="8"/>
        <v>53810</v>
      </c>
      <c r="CJ49" s="68">
        <f t="shared" si="8"/>
        <v>51742</v>
      </c>
      <c r="CK49" s="272">
        <f t="shared" si="8"/>
        <v>49924</v>
      </c>
      <c r="CL49" s="272">
        <f t="shared" si="8"/>
        <v>48369</v>
      </c>
      <c r="CM49" s="272">
        <f t="shared" si="8"/>
        <v>53014</v>
      </c>
      <c r="CN49" s="272">
        <f t="shared" si="8"/>
        <v>52572</v>
      </c>
      <c r="CO49" s="272">
        <f t="shared" si="8"/>
        <v>53295</v>
      </c>
      <c r="CP49" s="272">
        <f t="shared" si="8"/>
        <v>54630</v>
      </c>
      <c r="CQ49" s="272">
        <f t="shared" si="8"/>
        <v>55350</v>
      </c>
      <c r="CR49" s="272">
        <f t="shared" si="8"/>
        <v>55240</v>
      </c>
      <c r="CS49" s="272">
        <f aca="true" t="shared" si="9" ref="CS49:CX49">CS50+CS57</f>
        <v>56950</v>
      </c>
      <c r="CT49" s="272">
        <f t="shared" si="9"/>
        <v>58228</v>
      </c>
      <c r="CU49" s="272">
        <f t="shared" si="9"/>
        <v>58698</v>
      </c>
      <c r="CV49" s="272">
        <f t="shared" si="9"/>
        <v>56209</v>
      </c>
      <c r="CW49" s="272">
        <f t="shared" si="9"/>
        <v>56594</v>
      </c>
      <c r="CX49" s="272">
        <f t="shared" si="9"/>
        <v>56537</v>
      </c>
      <c r="CY49" s="272">
        <f aca="true" t="shared" si="10" ref="CY49:DD49">CY50+CY57</f>
        <v>59768</v>
      </c>
      <c r="CZ49" s="272">
        <f t="shared" si="10"/>
        <v>59596</v>
      </c>
      <c r="DA49" s="272">
        <f t="shared" si="10"/>
        <v>60872</v>
      </c>
      <c r="DB49" s="272">
        <f t="shared" si="10"/>
        <v>60366</v>
      </c>
      <c r="DC49" s="272">
        <f t="shared" si="10"/>
        <v>60583</v>
      </c>
      <c r="DD49" s="85">
        <f t="shared" si="10"/>
        <v>59879</v>
      </c>
      <c r="DE49" s="85">
        <f aca="true" t="shared" si="11" ref="DE49:DJ49">DE50+DE57</f>
        <v>60747</v>
      </c>
      <c r="DF49" s="85">
        <f t="shared" si="11"/>
        <v>61364</v>
      </c>
      <c r="DG49" s="85">
        <f t="shared" si="11"/>
        <v>63391</v>
      </c>
      <c r="DH49" s="85">
        <f>DH50+DH57</f>
        <v>62047</v>
      </c>
      <c r="DI49" s="85">
        <f t="shared" si="11"/>
        <v>64258</v>
      </c>
      <c r="DJ49" s="85">
        <f t="shared" si="11"/>
        <v>65258</v>
      </c>
      <c r="DK49" s="85">
        <f aca="true" t="shared" si="12" ref="DK49:DQ49">DK50+DK57</f>
        <v>67801</v>
      </c>
      <c r="DL49" s="85">
        <f t="shared" si="12"/>
        <v>69004</v>
      </c>
      <c r="DM49" s="271">
        <f t="shared" si="12"/>
        <v>69505</v>
      </c>
      <c r="DN49" s="271">
        <f t="shared" si="12"/>
        <v>68629</v>
      </c>
      <c r="DO49" s="271">
        <f t="shared" si="12"/>
        <v>69648</v>
      </c>
      <c r="DP49" s="271">
        <f t="shared" si="12"/>
        <v>70419</v>
      </c>
      <c r="DQ49" s="271">
        <f t="shared" si="12"/>
        <v>70278</v>
      </c>
      <c r="DR49" s="271">
        <f aca="true" t="shared" si="13" ref="DR49:DY49">DR50+DR57</f>
        <v>70904</v>
      </c>
      <c r="DS49" s="271">
        <f t="shared" si="13"/>
        <v>73259</v>
      </c>
      <c r="DT49" s="271">
        <f>DT50+DT57</f>
        <v>71158</v>
      </c>
      <c r="DU49" s="271">
        <f t="shared" si="13"/>
        <v>71061</v>
      </c>
      <c r="DV49" s="81">
        <f>DV50+DV57</f>
        <v>70930</v>
      </c>
      <c r="DW49" s="271">
        <f t="shared" si="13"/>
        <v>68843</v>
      </c>
      <c r="DX49" s="271">
        <f>DX50+DX57</f>
        <v>67474</v>
      </c>
      <c r="DY49" s="271">
        <f t="shared" si="13"/>
        <v>64640</v>
      </c>
      <c r="DZ49" s="271">
        <f aca="true" t="shared" si="14" ref="DZ49:EF49">DZ50+DZ57</f>
        <v>67859</v>
      </c>
      <c r="EA49" s="271">
        <f t="shared" si="14"/>
        <v>66439</v>
      </c>
      <c r="EB49" s="271">
        <f>EB50+EB57</f>
        <v>67474</v>
      </c>
      <c r="EC49" s="271">
        <f t="shared" si="14"/>
        <v>67068</v>
      </c>
      <c r="ED49" s="271">
        <f t="shared" si="14"/>
        <v>66341</v>
      </c>
      <c r="EE49" s="81">
        <f>EE50+EE57</f>
        <v>66231</v>
      </c>
      <c r="EF49" s="271">
        <f t="shared" si="14"/>
        <v>60641</v>
      </c>
      <c r="EG49" s="85">
        <f aca="true" t="shared" si="15" ref="EG49:EN49">EG50+EG57</f>
        <v>61133</v>
      </c>
      <c r="EH49" s="85">
        <f t="shared" si="15"/>
        <v>63993</v>
      </c>
      <c r="EI49" s="85">
        <f t="shared" si="15"/>
        <v>64520</v>
      </c>
      <c r="EJ49" s="79">
        <f t="shared" si="15"/>
        <v>64782</v>
      </c>
      <c r="EK49" s="79">
        <f>EK50+EK57</f>
        <v>63078</v>
      </c>
      <c r="EL49" s="79">
        <f t="shared" si="15"/>
        <v>60277</v>
      </c>
      <c r="EM49" s="79">
        <f t="shared" si="15"/>
        <v>59184</v>
      </c>
      <c r="EN49" s="79">
        <f t="shared" si="15"/>
        <v>58823</v>
      </c>
      <c r="EO49" s="79">
        <f aca="true" t="shared" si="16" ref="EO49:EV49">EO50+EO57</f>
        <v>58475</v>
      </c>
      <c r="EP49" s="79">
        <f t="shared" si="16"/>
        <v>58116</v>
      </c>
      <c r="EQ49" s="79">
        <f t="shared" si="16"/>
        <v>57888</v>
      </c>
      <c r="ER49" s="79">
        <f t="shared" si="16"/>
        <v>56204</v>
      </c>
      <c r="ES49" s="79">
        <f t="shared" si="16"/>
        <v>57479</v>
      </c>
      <c r="ET49" s="79">
        <f t="shared" si="16"/>
        <v>58974</v>
      </c>
      <c r="EU49" s="79">
        <f t="shared" si="16"/>
        <v>59838</v>
      </c>
      <c r="EV49" s="79">
        <f t="shared" si="16"/>
        <v>59889</v>
      </c>
      <c r="EW49" s="79">
        <f aca="true" t="shared" si="17" ref="EW49:FB49">EW50+EW57</f>
        <v>60220</v>
      </c>
      <c r="EX49" s="79">
        <f t="shared" si="17"/>
        <v>61318</v>
      </c>
      <c r="EY49" s="79">
        <f t="shared" si="17"/>
        <v>59726</v>
      </c>
      <c r="EZ49" s="79">
        <f t="shared" si="17"/>
        <v>60818</v>
      </c>
      <c r="FA49" s="79">
        <f t="shared" si="17"/>
        <v>61979</v>
      </c>
      <c r="FB49" s="79">
        <f t="shared" si="17"/>
        <v>61297</v>
      </c>
      <c r="FC49" s="79">
        <f aca="true" t="shared" si="18" ref="FC49:FI49">FC50+FC57</f>
        <v>62591</v>
      </c>
      <c r="FD49" s="310">
        <f t="shared" si="18"/>
        <v>62032</v>
      </c>
      <c r="FE49" s="95">
        <f t="shared" si="18"/>
        <v>61368</v>
      </c>
      <c r="FF49" s="95">
        <f t="shared" si="18"/>
        <v>60500</v>
      </c>
      <c r="FG49" s="95">
        <f t="shared" si="18"/>
        <v>58026</v>
      </c>
      <c r="FH49" s="95">
        <f t="shared" si="18"/>
        <v>57878</v>
      </c>
      <c r="FI49" s="95">
        <f t="shared" si="18"/>
        <v>58597</v>
      </c>
      <c r="FJ49" s="95">
        <f aca="true" t="shared" si="19" ref="FJ49:FO49">FJ50+FJ57</f>
        <v>57730</v>
      </c>
      <c r="FK49" s="110">
        <f t="shared" si="19"/>
        <v>57273</v>
      </c>
      <c r="FL49" s="110">
        <f t="shared" si="19"/>
        <v>57453</v>
      </c>
      <c r="FM49" s="110">
        <f t="shared" si="19"/>
        <v>56350</v>
      </c>
      <c r="FN49" s="110">
        <f t="shared" si="19"/>
        <v>56951</v>
      </c>
      <c r="FO49" s="320">
        <f t="shared" si="19"/>
        <v>60506</v>
      </c>
      <c r="FP49" s="118">
        <f aca="true" t="shared" si="20" ref="FP49:FU49">FP50+FP57</f>
        <v>58131</v>
      </c>
      <c r="FQ49" s="110">
        <f t="shared" si="20"/>
        <v>57037</v>
      </c>
      <c r="FR49" s="110">
        <f t="shared" si="20"/>
        <v>56519</v>
      </c>
      <c r="FS49" s="110">
        <f t="shared" si="20"/>
        <v>56140</v>
      </c>
      <c r="FT49" s="110">
        <f t="shared" si="20"/>
        <v>57104</v>
      </c>
      <c r="FU49" s="110">
        <f t="shared" si="20"/>
        <v>58449</v>
      </c>
      <c r="FV49" s="110">
        <f aca="true" t="shared" si="21" ref="FV49:GB49">FV50+FV57</f>
        <v>59100</v>
      </c>
      <c r="FW49" s="95">
        <f t="shared" si="21"/>
        <v>60563</v>
      </c>
      <c r="FX49" s="95">
        <f t="shared" si="21"/>
        <v>61222</v>
      </c>
      <c r="FY49" s="95">
        <f t="shared" si="21"/>
        <v>60867</v>
      </c>
      <c r="FZ49" s="95">
        <f t="shared" si="21"/>
        <v>62916</v>
      </c>
      <c r="GA49" s="311">
        <f t="shared" si="21"/>
        <v>62143</v>
      </c>
      <c r="GB49" s="310">
        <f t="shared" si="21"/>
        <v>62683</v>
      </c>
      <c r="GC49" s="95">
        <f>GC50+GC57</f>
        <v>61999</v>
      </c>
      <c r="GD49" s="311">
        <f>GD50+GD57</f>
        <v>63359</v>
      </c>
      <c r="GE49" s="3"/>
      <c r="GF49" s="3"/>
      <c r="GG49" s="3"/>
      <c r="GH49" s="3"/>
      <c r="GI49" s="132"/>
    </row>
    <row r="50" spans="1:191" ht="15" customHeight="1">
      <c r="A50" s="6"/>
      <c r="B50" s="186" t="s">
        <v>112</v>
      </c>
      <c r="C50" s="78">
        <f aca="true" t="shared" si="22" ref="C50:BM50">C51-C55</f>
        <v>1600</v>
      </c>
      <c r="D50" s="78">
        <f t="shared" si="22"/>
        <v>1887</v>
      </c>
      <c r="E50" s="78">
        <f t="shared" si="22"/>
        <v>2701</v>
      </c>
      <c r="F50" s="78">
        <f t="shared" si="22"/>
        <v>2353</v>
      </c>
      <c r="G50" s="78">
        <f t="shared" si="22"/>
        <v>3000</v>
      </c>
      <c r="H50" s="78">
        <f t="shared" si="22"/>
        <v>3892</v>
      </c>
      <c r="I50" s="78">
        <f t="shared" si="22"/>
        <v>4405</v>
      </c>
      <c r="J50" s="78">
        <f t="shared" si="22"/>
        <v>6188</v>
      </c>
      <c r="K50" s="78">
        <f t="shared" si="22"/>
        <v>6259</v>
      </c>
      <c r="L50" s="78">
        <f t="shared" si="22"/>
        <v>7292</v>
      </c>
      <c r="M50" s="78">
        <f t="shared" si="22"/>
        <v>6761</v>
      </c>
      <c r="N50" s="78">
        <f t="shared" si="22"/>
        <v>7502</v>
      </c>
      <c r="O50" s="78">
        <f t="shared" si="22"/>
        <v>9314.16</v>
      </c>
      <c r="P50" s="78">
        <f t="shared" si="22"/>
        <v>11306.916000000001</v>
      </c>
      <c r="Q50" s="78">
        <f t="shared" si="22"/>
        <v>12307.091</v>
      </c>
      <c r="R50" s="78">
        <f t="shared" si="22"/>
        <v>12827.728</v>
      </c>
      <c r="S50" s="78">
        <f t="shared" si="22"/>
        <v>11356.321</v>
      </c>
      <c r="T50" s="78">
        <f t="shared" si="22"/>
        <v>12747.184000000001</v>
      </c>
      <c r="U50" s="78">
        <f t="shared" si="22"/>
        <v>12339.04</v>
      </c>
      <c r="V50" s="78">
        <f t="shared" si="22"/>
        <v>12354.11</v>
      </c>
      <c r="W50" s="78">
        <f t="shared" si="22"/>
        <v>11628.365000000002</v>
      </c>
      <c r="X50" s="78">
        <f t="shared" si="22"/>
        <v>12839.722</v>
      </c>
      <c r="Y50" s="78">
        <f t="shared" si="22"/>
        <v>14002.467999999999</v>
      </c>
      <c r="Z50" s="78">
        <f t="shared" si="22"/>
        <v>14936.071000000002</v>
      </c>
      <c r="AA50" s="78">
        <f t="shared" si="22"/>
        <v>17215.703</v>
      </c>
      <c r="AB50" s="78">
        <f t="shared" si="22"/>
        <v>17705.723</v>
      </c>
      <c r="AC50" s="78">
        <f t="shared" si="22"/>
        <v>18264.3</v>
      </c>
      <c r="AD50" s="78">
        <f t="shared" si="22"/>
        <v>18867.749</v>
      </c>
      <c r="AE50" s="78">
        <f t="shared" si="22"/>
        <v>19409.797</v>
      </c>
      <c r="AF50" s="78">
        <f t="shared" si="22"/>
        <v>19238.413999999997</v>
      </c>
      <c r="AG50" s="78">
        <f t="shared" si="22"/>
        <v>18428.568</v>
      </c>
      <c r="AH50" s="78">
        <f t="shared" si="22"/>
        <v>18618.91</v>
      </c>
      <c r="AI50" s="78">
        <f t="shared" si="22"/>
        <v>20442.045</v>
      </c>
      <c r="AJ50" s="78">
        <f t="shared" si="22"/>
        <v>20845.774999999998</v>
      </c>
      <c r="AK50" s="78">
        <f t="shared" si="22"/>
        <v>21117.748</v>
      </c>
      <c r="AL50" s="78">
        <f t="shared" si="22"/>
        <v>19389.812</v>
      </c>
      <c r="AM50" s="78">
        <f>AM51-AM55</f>
        <v>25561.735</v>
      </c>
      <c r="AN50" s="167">
        <f t="shared" si="22"/>
        <v>24318.398</v>
      </c>
      <c r="AO50" s="167">
        <f t="shared" si="22"/>
        <v>22124.479</v>
      </c>
      <c r="AP50" s="167">
        <f t="shared" si="22"/>
        <v>22383.518</v>
      </c>
      <c r="AQ50" s="167">
        <f t="shared" si="22"/>
        <v>24657.826</v>
      </c>
      <c r="AR50" s="167">
        <f t="shared" si="22"/>
        <v>25413.634</v>
      </c>
      <c r="AS50" s="167">
        <f t="shared" si="22"/>
        <v>26233.662000000004</v>
      </c>
      <c r="AT50" s="167">
        <f t="shared" si="22"/>
        <v>28990.352</v>
      </c>
      <c r="AU50" s="167">
        <f t="shared" si="22"/>
        <v>29328.392000000003</v>
      </c>
      <c r="AV50" s="167">
        <f t="shared" si="22"/>
        <v>28954.663</v>
      </c>
      <c r="AW50" s="168">
        <f t="shared" si="22"/>
        <v>30267.010999999995</v>
      </c>
      <c r="AX50" s="167">
        <f t="shared" si="22"/>
        <v>32469.252</v>
      </c>
      <c r="AY50" s="167">
        <f t="shared" si="22"/>
        <v>38374.985</v>
      </c>
      <c r="AZ50" s="168">
        <f t="shared" si="22"/>
        <v>38678.173</v>
      </c>
      <c r="BA50" s="168">
        <f t="shared" si="22"/>
        <v>39585.917</v>
      </c>
      <c r="BB50" s="168">
        <f t="shared" si="22"/>
        <v>41889.561</v>
      </c>
      <c r="BC50" s="168">
        <f t="shared" si="22"/>
        <v>42481.91700000001</v>
      </c>
      <c r="BD50" s="168">
        <f t="shared" si="22"/>
        <v>46188.530000000006</v>
      </c>
      <c r="BE50" s="168">
        <f t="shared" si="22"/>
        <v>46628.221000000005</v>
      </c>
      <c r="BF50" s="168">
        <f t="shared" si="22"/>
        <v>47859.715</v>
      </c>
      <c r="BG50" s="168">
        <f t="shared" si="22"/>
        <v>46487.48</v>
      </c>
      <c r="BH50" s="168">
        <f t="shared" si="22"/>
        <v>52492.34</v>
      </c>
      <c r="BI50" s="168">
        <f t="shared" si="22"/>
        <v>50526.044</v>
      </c>
      <c r="BJ50" s="168">
        <f t="shared" si="22"/>
        <v>53686.927</v>
      </c>
      <c r="BK50" s="168">
        <f>BK51-BK55</f>
        <v>58958.272</v>
      </c>
      <c r="BL50" s="168">
        <f t="shared" si="22"/>
        <v>54565.02999999999</v>
      </c>
      <c r="BM50" s="168">
        <f t="shared" si="22"/>
        <v>51043.76600000001</v>
      </c>
      <c r="BN50" s="168">
        <f aca="true" t="shared" si="23" ref="BN50:CR50">BN51-BN55</f>
        <v>49005.71</v>
      </c>
      <c r="BO50" s="168">
        <f t="shared" si="23"/>
        <v>48487.283</v>
      </c>
      <c r="BP50" s="168">
        <f t="shared" si="23"/>
        <v>47847.306000000004</v>
      </c>
      <c r="BQ50" s="168">
        <f t="shared" si="23"/>
        <v>48710.82600000001</v>
      </c>
      <c r="BR50" s="168">
        <f t="shared" si="23"/>
        <v>50804.451</v>
      </c>
      <c r="BS50" s="168">
        <f t="shared" si="23"/>
        <v>49351.315</v>
      </c>
      <c r="BT50" s="168">
        <f>BT51-BT55</f>
        <v>46959.936</v>
      </c>
      <c r="BU50" s="168">
        <f t="shared" si="23"/>
        <v>48230.598000000005</v>
      </c>
      <c r="BV50" s="168">
        <f t="shared" si="23"/>
        <v>50513.932</v>
      </c>
      <c r="BW50" s="168">
        <f t="shared" si="23"/>
        <v>50143.176999999996</v>
      </c>
      <c r="BX50" s="168">
        <f t="shared" si="23"/>
        <v>51147.031</v>
      </c>
      <c r="BY50" s="168">
        <f t="shared" si="23"/>
        <v>49320.522</v>
      </c>
      <c r="BZ50" s="168">
        <f t="shared" si="23"/>
        <v>48205.991</v>
      </c>
      <c r="CA50" s="168">
        <f t="shared" si="23"/>
        <v>48788.50199999999</v>
      </c>
      <c r="CB50" s="168">
        <f t="shared" si="23"/>
        <v>46376.54</v>
      </c>
      <c r="CC50" s="168">
        <f t="shared" si="23"/>
        <v>47681.817</v>
      </c>
      <c r="CD50" s="168">
        <f t="shared" si="23"/>
        <v>48080.594</v>
      </c>
      <c r="CE50" s="168">
        <f t="shared" si="23"/>
        <v>48572.981999999996</v>
      </c>
      <c r="CF50" s="168">
        <f t="shared" si="23"/>
        <v>51962.81800000001</v>
      </c>
      <c r="CG50" s="168">
        <f t="shared" si="23"/>
        <v>52457.755999999994</v>
      </c>
      <c r="CH50" s="168">
        <f t="shared" si="23"/>
        <v>53657.152</v>
      </c>
      <c r="CI50" s="168">
        <f>CI51-CI55</f>
        <v>57219.292</v>
      </c>
      <c r="CJ50" s="168">
        <f t="shared" si="23"/>
        <v>58144.099</v>
      </c>
      <c r="CK50" s="272">
        <f t="shared" si="23"/>
        <v>57138.535</v>
      </c>
      <c r="CL50" s="272">
        <f t="shared" si="23"/>
        <v>56867.593</v>
      </c>
      <c r="CM50" s="272">
        <f t="shared" si="23"/>
        <v>60636.429000000004</v>
      </c>
      <c r="CN50" s="170">
        <f t="shared" si="23"/>
        <v>61442.961</v>
      </c>
      <c r="CO50" s="170">
        <f t="shared" si="23"/>
        <v>61466.886</v>
      </c>
      <c r="CP50" s="170">
        <f t="shared" si="23"/>
        <v>60497.739</v>
      </c>
      <c r="CQ50" s="170">
        <f t="shared" si="23"/>
        <v>64806.320999999996</v>
      </c>
      <c r="CR50" s="170">
        <f t="shared" si="23"/>
        <v>64511.338</v>
      </c>
      <c r="CS50" s="170">
        <f aca="true" t="shared" si="24" ref="CS50:CX50">CS51-CS55</f>
        <v>65674.081</v>
      </c>
      <c r="CT50" s="170">
        <f t="shared" si="24"/>
        <v>65505.206000000006</v>
      </c>
      <c r="CU50" s="170">
        <f t="shared" si="24"/>
        <v>69088.19099999999</v>
      </c>
      <c r="CV50" s="170">
        <f t="shared" si="24"/>
        <v>68681.835</v>
      </c>
      <c r="CW50" s="170">
        <f t="shared" si="24"/>
        <v>66626.56700000001</v>
      </c>
      <c r="CX50" s="170">
        <f t="shared" si="24"/>
        <v>64935.884999999995</v>
      </c>
      <c r="CY50" s="170">
        <f aca="true" t="shared" si="25" ref="CY50:DE50">CY51-CY55</f>
        <v>68605.114</v>
      </c>
      <c r="CZ50" s="170">
        <f t="shared" si="25"/>
        <v>66783.197</v>
      </c>
      <c r="DA50" s="170">
        <f t="shared" si="25"/>
        <v>72934.54199999999</v>
      </c>
      <c r="DB50" s="170">
        <f t="shared" si="25"/>
        <v>71398.331</v>
      </c>
      <c r="DC50" s="170">
        <f t="shared" si="25"/>
        <v>71112.913</v>
      </c>
      <c r="DD50" s="85">
        <f t="shared" si="25"/>
        <v>68994.083</v>
      </c>
      <c r="DE50" s="85">
        <f t="shared" si="25"/>
        <v>77557.356</v>
      </c>
      <c r="DF50" s="85">
        <f aca="true" t="shared" si="26" ref="DF50:DK50">DF51-DF55</f>
        <v>73293.24900000001</v>
      </c>
      <c r="DG50" s="85">
        <f t="shared" si="26"/>
        <v>78155.333</v>
      </c>
      <c r="DH50" s="85">
        <f t="shared" si="26"/>
        <v>75779.795</v>
      </c>
      <c r="DI50" s="85">
        <f t="shared" si="26"/>
        <v>80307.55500000001</v>
      </c>
      <c r="DJ50" s="79">
        <f t="shared" si="26"/>
        <v>76652.089</v>
      </c>
      <c r="DK50" s="79">
        <f t="shared" si="26"/>
        <v>79854.887</v>
      </c>
      <c r="DL50" s="79">
        <f aca="true" t="shared" si="27" ref="DL50:DR50">DL51-DL55</f>
        <v>81312.969</v>
      </c>
      <c r="DM50" s="79">
        <f t="shared" si="27"/>
        <v>80577.131</v>
      </c>
      <c r="DN50" s="79">
        <f t="shared" si="27"/>
        <v>80348.55699999999</v>
      </c>
      <c r="DO50" s="79">
        <f t="shared" si="27"/>
        <v>82057.581</v>
      </c>
      <c r="DP50" s="79">
        <f t="shared" si="27"/>
        <v>85907.506</v>
      </c>
      <c r="DQ50" s="79">
        <f t="shared" si="27"/>
        <v>85899</v>
      </c>
      <c r="DR50" s="79">
        <f t="shared" si="27"/>
        <v>84106.664</v>
      </c>
      <c r="DS50" s="79">
        <f aca="true" t="shared" si="28" ref="DS50:DZ50">DS51-DS55</f>
        <v>88441.584</v>
      </c>
      <c r="DT50" s="79">
        <f t="shared" si="28"/>
        <v>87010.909</v>
      </c>
      <c r="DU50" s="79">
        <f t="shared" si="28"/>
        <v>87237.24799999999</v>
      </c>
      <c r="DV50" s="79">
        <f>DV51-DV55</f>
        <v>85942.382</v>
      </c>
      <c r="DW50" s="79">
        <f t="shared" si="28"/>
        <v>84407.59599999999</v>
      </c>
      <c r="DX50" s="79">
        <f t="shared" si="28"/>
        <v>93044.776</v>
      </c>
      <c r="DY50" s="79">
        <f t="shared" si="28"/>
        <v>90274.09300000001</v>
      </c>
      <c r="DZ50" s="79">
        <f t="shared" si="28"/>
        <v>86700.69099999999</v>
      </c>
      <c r="EA50" s="79">
        <f aca="true" t="shared" si="29" ref="EA50:EH50">EA51-EA55</f>
        <v>86017.176</v>
      </c>
      <c r="EB50" s="79">
        <f t="shared" si="29"/>
        <v>83548.354</v>
      </c>
      <c r="EC50" s="79">
        <f t="shared" si="29"/>
        <v>83057.17700000001</v>
      </c>
      <c r="ED50" s="79">
        <f t="shared" si="29"/>
        <v>82600.857</v>
      </c>
      <c r="EE50" s="79">
        <f t="shared" si="29"/>
        <v>75435.052</v>
      </c>
      <c r="EF50" s="79">
        <f t="shared" si="29"/>
        <v>74920.565</v>
      </c>
      <c r="EG50" s="79">
        <f t="shared" si="29"/>
        <v>75662.084</v>
      </c>
      <c r="EH50" s="79">
        <f t="shared" si="29"/>
        <v>77059.281</v>
      </c>
      <c r="EI50" s="79">
        <f aca="true" t="shared" si="30" ref="EI50:EN50">EI51-EI55</f>
        <v>77342.143</v>
      </c>
      <c r="EJ50" s="79">
        <f t="shared" si="30"/>
        <v>75391.34000000001</v>
      </c>
      <c r="EK50" s="79">
        <f>EK51-EK55</f>
        <v>71193.229</v>
      </c>
      <c r="EL50" s="79">
        <f t="shared" si="30"/>
        <v>67931.81099999999</v>
      </c>
      <c r="EM50" s="79">
        <f t="shared" si="30"/>
        <v>66984.068</v>
      </c>
      <c r="EN50" s="79">
        <f t="shared" si="30"/>
        <v>66017.43800000001</v>
      </c>
      <c r="EO50" s="79">
        <f aca="true" t="shared" si="31" ref="EO50:EW50">EO51-EO55</f>
        <v>66018.933</v>
      </c>
      <c r="EP50" s="79">
        <f t="shared" si="31"/>
        <v>62448.152</v>
      </c>
      <c r="EQ50" s="79">
        <f t="shared" si="31"/>
        <v>62810.452999999994</v>
      </c>
      <c r="ER50" s="79">
        <f t="shared" si="31"/>
        <v>59869.492</v>
      </c>
      <c r="ES50" s="79">
        <f t="shared" si="31"/>
        <v>58650.692</v>
      </c>
      <c r="ET50" s="79">
        <f t="shared" si="31"/>
        <v>58906.649000000005</v>
      </c>
      <c r="EU50" s="79">
        <f t="shared" si="31"/>
        <v>58629.899</v>
      </c>
      <c r="EV50" s="79">
        <f t="shared" si="31"/>
        <v>57963.693999999996</v>
      </c>
      <c r="EW50" s="79">
        <f t="shared" si="31"/>
        <v>56018.376000000004</v>
      </c>
      <c r="EX50" s="79">
        <f aca="true" t="shared" si="32" ref="EX50:FC50">EX51-EX55</f>
        <v>56086.403000000006</v>
      </c>
      <c r="EY50" s="79">
        <f t="shared" si="32"/>
        <v>56032.051</v>
      </c>
      <c r="EZ50" s="79">
        <f t="shared" si="32"/>
        <v>55171.236000000004</v>
      </c>
      <c r="FA50" s="79">
        <f t="shared" si="32"/>
        <v>53359.570999999996</v>
      </c>
      <c r="FB50" s="79">
        <f t="shared" si="32"/>
        <v>52194.312</v>
      </c>
      <c r="FC50" s="79">
        <f t="shared" si="32"/>
        <v>52618.403999999995</v>
      </c>
      <c r="FD50" s="310">
        <f aca="true" t="shared" si="33" ref="FD50:FI50">FD51-FD55</f>
        <v>52542.668999999994</v>
      </c>
      <c r="FE50" s="110">
        <f t="shared" si="33"/>
        <v>53295.85</v>
      </c>
      <c r="FF50" s="110">
        <f t="shared" si="33"/>
        <v>53260.719000000005</v>
      </c>
      <c r="FG50" s="110">
        <f t="shared" si="33"/>
        <v>53253.039000000004</v>
      </c>
      <c r="FH50" s="110">
        <f t="shared" si="33"/>
        <v>53126.921</v>
      </c>
      <c r="FI50" s="110">
        <f t="shared" si="33"/>
        <v>53751.240999999995</v>
      </c>
      <c r="FJ50" s="110">
        <f aca="true" t="shared" si="34" ref="FJ50:FO50">FJ51-FJ55</f>
        <v>53198.448</v>
      </c>
      <c r="FK50" s="110">
        <f t="shared" si="34"/>
        <v>54688.1</v>
      </c>
      <c r="FL50" s="110">
        <f t="shared" si="34"/>
        <v>55121.49</v>
      </c>
      <c r="FM50" s="110">
        <f t="shared" si="34"/>
        <v>55102</v>
      </c>
      <c r="FN50" s="110">
        <f t="shared" si="34"/>
        <v>55781</v>
      </c>
      <c r="FO50" s="320">
        <f t="shared" si="34"/>
        <v>57326</v>
      </c>
      <c r="FP50" s="118">
        <f aca="true" t="shared" si="35" ref="FP50:FV50">FP51-FP55</f>
        <v>58496</v>
      </c>
      <c r="FQ50" s="110">
        <f t="shared" si="35"/>
        <v>58469</v>
      </c>
      <c r="FR50" s="110">
        <f t="shared" si="35"/>
        <v>59909</v>
      </c>
      <c r="FS50" s="110">
        <f t="shared" si="35"/>
        <v>61787</v>
      </c>
      <c r="FT50" s="110">
        <f t="shared" si="35"/>
        <v>62244</v>
      </c>
      <c r="FU50" s="110">
        <f t="shared" si="35"/>
        <v>64390</v>
      </c>
      <c r="FV50" s="110">
        <f t="shared" si="35"/>
        <v>66331</v>
      </c>
      <c r="FW50" s="110">
        <f aca="true" t="shared" si="36" ref="FW50:GC50">FW51-FW55</f>
        <v>68341</v>
      </c>
      <c r="FX50" s="110">
        <f t="shared" si="36"/>
        <v>68608</v>
      </c>
      <c r="FY50" s="110">
        <f t="shared" si="36"/>
        <v>71037</v>
      </c>
      <c r="FZ50" s="110">
        <f t="shared" si="36"/>
        <v>73402</v>
      </c>
      <c r="GA50" s="320">
        <f t="shared" si="36"/>
        <v>75429</v>
      </c>
      <c r="GB50" s="118">
        <f t="shared" si="36"/>
        <v>74682</v>
      </c>
      <c r="GC50" s="110">
        <f t="shared" si="36"/>
        <v>76208</v>
      </c>
      <c r="GD50" s="320">
        <f>GD51-GD55</f>
        <v>77197</v>
      </c>
      <c r="GE50" s="377">
        <f>GE51-GE55</f>
        <v>77168</v>
      </c>
      <c r="GF50" s="377">
        <f>GF51-GF55</f>
        <v>75292</v>
      </c>
      <c r="GG50" s="377">
        <f>GG51-GG55</f>
        <v>77315</v>
      </c>
      <c r="GH50" s="377">
        <f>GH51-GH55</f>
        <v>76217</v>
      </c>
      <c r="GI50" s="132"/>
    </row>
    <row r="51" spans="1:191" ht="15" customHeight="1">
      <c r="A51" s="6"/>
      <c r="B51" s="198" t="s">
        <v>119</v>
      </c>
      <c r="C51" s="67">
        <f aca="true" t="shared" si="37" ref="C51:BL51">C52+C53+C54</f>
        <v>1916</v>
      </c>
      <c r="D51" s="67">
        <f t="shared" si="37"/>
        <v>2134</v>
      </c>
      <c r="E51" s="67">
        <f t="shared" si="37"/>
        <v>2952</v>
      </c>
      <c r="F51" s="67">
        <f t="shared" si="37"/>
        <v>2606</v>
      </c>
      <c r="G51" s="67">
        <f t="shared" si="37"/>
        <v>3251</v>
      </c>
      <c r="H51" s="67">
        <f t="shared" si="37"/>
        <v>4150</v>
      </c>
      <c r="I51" s="67">
        <f t="shared" si="37"/>
        <v>4662</v>
      </c>
      <c r="J51" s="67">
        <f t="shared" si="37"/>
        <v>6444</v>
      </c>
      <c r="K51" s="67">
        <f t="shared" si="37"/>
        <v>6515</v>
      </c>
      <c r="L51" s="67">
        <f t="shared" si="37"/>
        <v>7439</v>
      </c>
      <c r="M51" s="67">
        <f t="shared" si="37"/>
        <v>6911</v>
      </c>
      <c r="N51" s="67">
        <f t="shared" si="37"/>
        <v>8292</v>
      </c>
      <c r="O51" s="67">
        <f t="shared" si="37"/>
        <v>10109.16</v>
      </c>
      <c r="P51" s="67">
        <f t="shared" si="37"/>
        <v>12098.916000000001</v>
      </c>
      <c r="Q51" s="67">
        <f t="shared" si="37"/>
        <v>13106.091</v>
      </c>
      <c r="R51" s="67">
        <f t="shared" si="37"/>
        <v>13625.728</v>
      </c>
      <c r="S51" s="67">
        <f t="shared" si="37"/>
        <v>12154.321</v>
      </c>
      <c r="T51" s="67">
        <f t="shared" si="37"/>
        <v>13541.184000000001</v>
      </c>
      <c r="U51" s="67">
        <f t="shared" si="37"/>
        <v>12985.04</v>
      </c>
      <c r="V51" s="67">
        <f t="shared" si="37"/>
        <v>13000.11</v>
      </c>
      <c r="W51" s="67">
        <f t="shared" si="37"/>
        <v>12274.365000000002</v>
      </c>
      <c r="X51" s="67">
        <f t="shared" si="37"/>
        <v>13485.722</v>
      </c>
      <c r="Y51" s="67">
        <f t="shared" si="37"/>
        <v>14648.467999999999</v>
      </c>
      <c r="Z51" s="67">
        <f t="shared" si="37"/>
        <v>15582.071000000002</v>
      </c>
      <c r="AA51" s="67">
        <f>AA52+AA53+AA54</f>
        <v>17845.703</v>
      </c>
      <c r="AB51" s="67">
        <f t="shared" si="37"/>
        <v>18335.723</v>
      </c>
      <c r="AC51" s="67">
        <f t="shared" si="37"/>
        <v>18894.3</v>
      </c>
      <c r="AD51" s="67">
        <f t="shared" si="37"/>
        <v>19497.749</v>
      </c>
      <c r="AE51" s="67">
        <f t="shared" si="37"/>
        <v>20039.797</v>
      </c>
      <c r="AF51" s="67">
        <f t="shared" si="37"/>
        <v>19868.413999999997</v>
      </c>
      <c r="AG51" s="67">
        <f t="shared" si="37"/>
        <v>19058.568</v>
      </c>
      <c r="AH51" s="67">
        <f t="shared" si="37"/>
        <v>19248.91</v>
      </c>
      <c r="AI51" s="67">
        <f t="shared" si="37"/>
        <v>21072.045</v>
      </c>
      <c r="AJ51" s="67">
        <f t="shared" si="37"/>
        <v>21475.774999999998</v>
      </c>
      <c r="AK51" s="67">
        <f t="shared" si="37"/>
        <v>21747.748</v>
      </c>
      <c r="AL51" s="67">
        <f t="shared" si="37"/>
        <v>20019.812</v>
      </c>
      <c r="AM51" s="67">
        <f t="shared" si="37"/>
        <v>26157.735</v>
      </c>
      <c r="AN51" s="169">
        <f t="shared" si="37"/>
        <v>24914.398</v>
      </c>
      <c r="AO51" s="169">
        <f t="shared" si="37"/>
        <v>22720.479</v>
      </c>
      <c r="AP51" s="169">
        <f t="shared" si="37"/>
        <v>22979.518</v>
      </c>
      <c r="AQ51" s="169">
        <f t="shared" si="37"/>
        <v>25253.826</v>
      </c>
      <c r="AR51" s="169">
        <f t="shared" si="37"/>
        <v>26009.634</v>
      </c>
      <c r="AS51" s="169">
        <f t="shared" si="37"/>
        <v>26829.662000000004</v>
      </c>
      <c r="AT51" s="169">
        <f t="shared" si="37"/>
        <v>29586.352</v>
      </c>
      <c r="AU51" s="169">
        <f t="shared" si="37"/>
        <v>29924.392000000003</v>
      </c>
      <c r="AV51" s="169">
        <f t="shared" si="37"/>
        <v>29550.663</v>
      </c>
      <c r="AW51" s="170">
        <f t="shared" si="37"/>
        <v>30863.010999999995</v>
      </c>
      <c r="AX51" s="169">
        <f t="shared" si="37"/>
        <v>33065.252</v>
      </c>
      <c r="AY51" s="169">
        <f t="shared" si="37"/>
        <v>38375.009</v>
      </c>
      <c r="AZ51" s="170">
        <f t="shared" si="37"/>
        <v>38678.197</v>
      </c>
      <c r="BA51" s="170">
        <f t="shared" si="37"/>
        <v>39585.941</v>
      </c>
      <c r="BB51" s="170">
        <f t="shared" si="37"/>
        <v>41889.585</v>
      </c>
      <c r="BC51" s="170">
        <f t="shared" si="37"/>
        <v>42481.941000000006</v>
      </c>
      <c r="BD51" s="170">
        <f t="shared" si="37"/>
        <v>46188.554000000004</v>
      </c>
      <c r="BE51" s="170">
        <f t="shared" si="37"/>
        <v>46628.245</v>
      </c>
      <c r="BF51" s="170">
        <f t="shared" si="37"/>
        <v>47859.738999999994</v>
      </c>
      <c r="BG51" s="170">
        <f t="shared" si="37"/>
        <v>46487.504</v>
      </c>
      <c r="BH51" s="170">
        <f t="shared" si="37"/>
        <v>52492.363999999994</v>
      </c>
      <c r="BI51" s="170">
        <f t="shared" si="37"/>
        <v>50526.068</v>
      </c>
      <c r="BJ51" s="170">
        <f t="shared" si="37"/>
        <v>53686.951</v>
      </c>
      <c r="BK51" s="170">
        <f>BK52+BK53+BK54</f>
        <v>58958.295999999995</v>
      </c>
      <c r="BL51" s="170">
        <f t="shared" si="37"/>
        <v>54565.05399999999</v>
      </c>
      <c r="BM51" s="170">
        <f>BM52+BM53+BM54</f>
        <v>51043.79000000001</v>
      </c>
      <c r="BN51" s="170">
        <f aca="true" t="shared" si="38" ref="BN51:CS51">BN52+BN53+BN54</f>
        <v>49005.734</v>
      </c>
      <c r="BO51" s="170">
        <f t="shared" si="38"/>
        <v>48487.307</v>
      </c>
      <c r="BP51" s="170">
        <f t="shared" si="38"/>
        <v>47847.33</v>
      </c>
      <c r="BQ51" s="170">
        <f t="shared" si="38"/>
        <v>48710.848000000005</v>
      </c>
      <c r="BR51" s="170">
        <f t="shared" si="38"/>
        <v>50804.473</v>
      </c>
      <c r="BS51" s="170">
        <f t="shared" si="38"/>
        <v>49351.337</v>
      </c>
      <c r="BT51" s="170">
        <f>BT52+BT53+BT54</f>
        <v>46959.958</v>
      </c>
      <c r="BU51" s="170">
        <f t="shared" si="38"/>
        <v>50337.598000000005</v>
      </c>
      <c r="BV51" s="170">
        <f t="shared" si="38"/>
        <v>52652.932</v>
      </c>
      <c r="BW51" s="170">
        <f t="shared" si="38"/>
        <v>52224.176999999996</v>
      </c>
      <c r="BX51" s="170">
        <f t="shared" si="38"/>
        <v>53210.031</v>
      </c>
      <c r="BY51" s="170">
        <f t="shared" si="38"/>
        <v>51354.522</v>
      </c>
      <c r="BZ51" s="170">
        <f t="shared" si="38"/>
        <v>50220.991</v>
      </c>
      <c r="CA51" s="170">
        <f t="shared" si="38"/>
        <v>50790.50199999999</v>
      </c>
      <c r="CB51" s="170">
        <f t="shared" si="38"/>
        <v>48333.54</v>
      </c>
      <c r="CC51" s="170">
        <f t="shared" si="38"/>
        <v>49644.817</v>
      </c>
      <c r="CD51" s="170">
        <f>CD52+CD53+CD54</f>
        <v>50100.594</v>
      </c>
      <c r="CE51" s="170">
        <f t="shared" si="38"/>
        <v>50575.981999999996</v>
      </c>
      <c r="CF51" s="170">
        <f t="shared" si="38"/>
        <v>54028.81800000001</v>
      </c>
      <c r="CG51" s="170">
        <f t="shared" si="38"/>
        <v>54540.755999999994</v>
      </c>
      <c r="CH51" s="170">
        <f t="shared" si="38"/>
        <v>55682.152</v>
      </c>
      <c r="CI51" s="170">
        <f t="shared" si="38"/>
        <v>59263.292</v>
      </c>
      <c r="CJ51" s="170">
        <f t="shared" si="38"/>
        <v>60217.099</v>
      </c>
      <c r="CK51" s="272">
        <f t="shared" si="38"/>
        <v>59226.535</v>
      </c>
      <c r="CL51" s="272">
        <f t="shared" si="38"/>
        <v>58972.593</v>
      </c>
      <c r="CM51" s="272">
        <f t="shared" si="38"/>
        <v>62788.429000000004</v>
      </c>
      <c r="CN51" s="170">
        <f t="shared" si="38"/>
        <v>63567.961</v>
      </c>
      <c r="CO51" s="170">
        <f t="shared" si="38"/>
        <v>63590.886</v>
      </c>
      <c r="CP51" s="170">
        <f t="shared" si="38"/>
        <v>62619.739</v>
      </c>
      <c r="CQ51" s="170">
        <f t="shared" si="38"/>
        <v>66947.321</v>
      </c>
      <c r="CR51" s="170">
        <f t="shared" si="38"/>
        <v>66591.338</v>
      </c>
      <c r="CS51" s="170">
        <f t="shared" si="38"/>
        <v>67779.081</v>
      </c>
      <c r="CT51" s="170">
        <f aca="true" t="shared" si="39" ref="CT51:CY51">CT52+CT53+CT54</f>
        <v>67565.206</v>
      </c>
      <c r="CU51" s="170">
        <f t="shared" si="39"/>
        <v>71119.19099999999</v>
      </c>
      <c r="CV51" s="170">
        <f t="shared" si="39"/>
        <v>70733.835</v>
      </c>
      <c r="CW51" s="170">
        <f t="shared" si="39"/>
        <v>68684.56700000001</v>
      </c>
      <c r="CX51" s="170">
        <f t="shared" si="39"/>
        <v>66970.885</v>
      </c>
      <c r="CY51" s="170">
        <f t="shared" si="39"/>
        <v>70656.114</v>
      </c>
      <c r="CZ51" s="170">
        <f aca="true" t="shared" si="40" ref="CZ51:DE51">CZ52+CZ53+CZ54</f>
        <v>68781.197</v>
      </c>
      <c r="DA51" s="170">
        <f t="shared" si="40"/>
        <v>74932.54199999999</v>
      </c>
      <c r="DB51" s="170">
        <f t="shared" si="40"/>
        <v>73393.331</v>
      </c>
      <c r="DC51" s="170">
        <f t="shared" si="40"/>
        <v>73123.913</v>
      </c>
      <c r="DD51" s="85">
        <f t="shared" si="40"/>
        <v>71034.083</v>
      </c>
      <c r="DE51" s="85">
        <f t="shared" si="40"/>
        <v>79595.356</v>
      </c>
      <c r="DF51" s="85">
        <f aca="true" t="shared" si="41" ref="DF51:DK51">DF52+DF53+DF54</f>
        <v>75323.24900000001</v>
      </c>
      <c r="DG51" s="85">
        <f t="shared" si="41"/>
        <v>80188.333</v>
      </c>
      <c r="DH51" s="85">
        <f t="shared" si="41"/>
        <v>77818.795</v>
      </c>
      <c r="DI51" s="85">
        <f t="shared" si="41"/>
        <v>82311.55500000001</v>
      </c>
      <c r="DJ51" s="79">
        <f t="shared" si="41"/>
        <v>78635.089</v>
      </c>
      <c r="DK51" s="79">
        <f t="shared" si="41"/>
        <v>81850.887</v>
      </c>
      <c r="DL51" s="79">
        <f aca="true" t="shared" si="42" ref="DL51:DQ51">DL52+DL53+DL54</f>
        <v>83292.969</v>
      </c>
      <c r="DM51" s="79">
        <f t="shared" si="42"/>
        <v>82567.131</v>
      </c>
      <c r="DN51" s="79">
        <f t="shared" si="42"/>
        <v>82350.55699999999</v>
      </c>
      <c r="DO51" s="79">
        <f t="shared" si="42"/>
        <v>84063.581</v>
      </c>
      <c r="DP51" s="79">
        <f t="shared" si="42"/>
        <v>87936.506</v>
      </c>
      <c r="DQ51" s="79">
        <f t="shared" si="42"/>
        <v>87934</v>
      </c>
      <c r="DR51" s="79">
        <f aca="true" t="shared" si="43" ref="DR51:DW51">DR52+DR53+DR54</f>
        <v>86137.664</v>
      </c>
      <c r="DS51" s="79">
        <f t="shared" si="43"/>
        <v>90478.584</v>
      </c>
      <c r="DT51" s="79">
        <f t="shared" si="43"/>
        <v>89042.909</v>
      </c>
      <c r="DU51" s="79">
        <f t="shared" si="43"/>
        <v>89276.24799999999</v>
      </c>
      <c r="DV51" s="79">
        <f>DV52+DV53+DV54</f>
        <v>87987.382</v>
      </c>
      <c r="DW51" s="79">
        <f t="shared" si="43"/>
        <v>86394.59599999999</v>
      </c>
      <c r="DX51" s="79">
        <f aca="true" t="shared" si="44" ref="DX51:ED51">DX52+DX53+DX54</f>
        <v>95082.776</v>
      </c>
      <c r="DY51" s="79">
        <f t="shared" si="44"/>
        <v>92319.09300000001</v>
      </c>
      <c r="DZ51" s="79">
        <f t="shared" si="44"/>
        <v>88734.69099999999</v>
      </c>
      <c r="EA51" s="79">
        <f>EA52+EA53+EA54</f>
        <v>88026.176</v>
      </c>
      <c r="EB51" s="79">
        <f t="shared" si="44"/>
        <v>85509.354</v>
      </c>
      <c r="EC51" s="79">
        <f t="shared" si="44"/>
        <v>85016.17700000001</v>
      </c>
      <c r="ED51" s="79">
        <f t="shared" si="44"/>
        <v>84537.857</v>
      </c>
      <c r="EE51" s="79">
        <f aca="true" t="shared" si="45" ref="EE51:EJ51">EE52+EE53+EE54</f>
        <v>77352.052</v>
      </c>
      <c r="EF51" s="79">
        <f t="shared" si="45"/>
        <v>76784.565</v>
      </c>
      <c r="EG51" s="79">
        <f t="shared" si="45"/>
        <v>77533.084</v>
      </c>
      <c r="EH51" s="273">
        <f t="shared" si="45"/>
        <v>78884.281</v>
      </c>
      <c r="EI51" s="273">
        <f>EI52+EI53+EI54</f>
        <v>79202.143</v>
      </c>
      <c r="EJ51" s="79">
        <f t="shared" si="45"/>
        <v>77230.34000000001</v>
      </c>
      <c r="EK51" s="79">
        <f aca="true" t="shared" si="46" ref="EK51:EP51">EK52+EK53+EK54</f>
        <v>73053.229</v>
      </c>
      <c r="EL51" s="79">
        <f t="shared" si="46"/>
        <v>69782.81099999999</v>
      </c>
      <c r="EM51" s="79">
        <f t="shared" si="46"/>
        <v>68841.068</v>
      </c>
      <c r="EN51" s="79">
        <f t="shared" si="46"/>
        <v>67874.43800000001</v>
      </c>
      <c r="EO51" s="79">
        <f t="shared" si="46"/>
        <v>67868.933</v>
      </c>
      <c r="EP51" s="79">
        <f t="shared" si="46"/>
        <v>62448.152</v>
      </c>
      <c r="EQ51" s="79">
        <f aca="true" t="shared" si="47" ref="EQ51:EW51">EQ52+EQ53+EQ54</f>
        <v>62810.452999999994</v>
      </c>
      <c r="ER51" s="79">
        <f t="shared" si="47"/>
        <v>59869.492</v>
      </c>
      <c r="ES51" s="79">
        <f t="shared" si="47"/>
        <v>58650.692</v>
      </c>
      <c r="ET51" s="79">
        <f t="shared" si="47"/>
        <v>58906.649000000005</v>
      </c>
      <c r="EU51" s="79">
        <f t="shared" si="47"/>
        <v>58629.899</v>
      </c>
      <c r="EV51" s="79">
        <f t="shared" si="47"/>
        <v>57963.693999999996</v>
      </c>
      <c r="EW51" s="79">
        <f t="shared" si="47"/>
        <v>56018.376000000004</v>
      </c>
      <c r="EX51" s="79">
        <f aca="true" t="shared" si="48" ref="EX51:FC51">EX52+EX53+EX54</f>
        <v>56086.403000000006</v>
      </c>
      <c r="EY51" s="79">
        <f t="shared" si="48"/>
        <v>56032.051</v>
      </c>
      <c r="EZ51" s="79">
        <f t="shared" si="48"/>
        <v>55171.236000000004</v>
      </c>
      <c r="FA51" s="79">
        <f t="shared" si="48"/>
        <v>53359.570999999996</v>
      </c>
      <c r="FB51" s="79">
        <f t="shared" si="48"/>
        <v>52194.312</v>
      </c>
      <c r="FC51" s="79">
        <f t="shared" si="48"/>
        <v>52618.403999999995</v>
      </c>
      <c r="FD51" s="310">
        <f aca="true" t="shared" si="49" ref="FD51:FI51">FD52+FD53+FD54</f>
        <v>52542.668999999994</v>
      </c>
      <c r="FE51" s="110">
        <f t="shared" si="49"/>
        <v>53295.85</v>
      </c>
      <c r="FF51" s="110">
        <f t="shared" si="49"/>
        <v>53260.719000000005</v>
      </c>
      <c r="FG51" s="110">
        <f t="shared" si="49"/>
        <v>53253.039000000004</v>
      </c>
      <c r="FH51" s="110">
        <f t="shared" si="49"/>
        <v>53126.921</v>
      </c>
      <c r="FI51" s="110">
        <f t="shared" si="49"/>
        <v>53751.240999999995</v>
      </c>
      <c r="FJ51" s="110">
        <f aca="true" t="shared" si="50" ref="FJ51:FO51">FJ52+FJ53+FJ54</f>
        <v>53198.448</v>
      </c>
      <c r="FK51" s="110">
        <f t="shared" si="50"/>
        <v>54688.1</v>
      </c>
      <c r="FL51" s="110">
        <f t="shared" si="50"/>
        <v>55121.49</v>
      </c>
      <c r="FM51" s="110">
        <f t="shared" si="50"/>
        <v>55102</v>
      </c>
      <c r="FN51" s="110">
        <f t="shared" si="50"/>
        <v>55781</v>
      </c>
      <c r="FO51" s="320">
        <f t="shared" si="50"/>
        <v>57326</v>
      </c>
      <c r="FP51" s="118">
        <f aca="true" t="shared" si="51" ref="FP51:FU51">FP52+FP53+FP54</f>
        <v>58496</v>
      </c>
      <c r="FQ51" s="110">
        <f t="shared" si="51"/>
        <v>58469</v>
      </c>
      <c r="FR51" s="110">
        <f t="shared" si="51"/>
        <v>59909</v>
      </c>
      <c r="FS51" s="110">
        <f t="shared" si="51"/>
        <v>61787</v>
      </c>
      <c r="FT51" s="110">
        <f t="shared" si="51"/>
        <v>62244</v>
      </c>
      <c r="FU51" s="110">
        <f t="shared" si="51"/>
        <v>64390</v>
      </c>
      <c r="FV51" s="110">
        <f aca="true" t="shared" si="52" ref="FV51:GB51">FV52+FV53+FV54</f>
        <v>66331</v>
      </c>
      <c r="FW51" s="110">
        <f t="shared" si="52"/>
        <v>68341</v>
      </c>
      <c r="FX51" s="110">
        <f t="shared" si="52"/>
        <v>68608</v>
      </c>
      <c r="FY51" s="110">
        <f t="shared" si="52"/>
        <v>71037</v>
      </c>
      <c r="FZ51" s="110">
        <f t="shared" si="52"/>
        <v>73402</v>
      </c>
      <c r="GA51" s="320">
        <f t="shared" si="52"/>
        <v>75429</v>
      </c>
      <c r="GB51" s="118">
        <f t="shared" si="52"/>
        <v>74682</v>
      </c>
      <c r="GC51" s="110">
        <f aca="true" t="shared" si="53" ref="GC51:GH51">GC52+GC53+GC54</f>
        <v>76208</v>
      </c>
      <c r="GD51" s="320">
        <f t="shared" si="53"/>
        <v>77197</v>
      </c>
      <c r="GE51" s="377">
        <f t="shared" si="53"/>
        <v>77168</v>
      </c>
      <c r="GF51" s="377">
        <f t="shared" si="53"/>
        <v>75292</v>
      </c>
      <c r="GG51" s="377">
        <f t="shared" si="53"/>
        <v>77315</v>
      </c>
      <c r="GH51" s="377">
        <f t="shared" si="53"/>
        <v>76217</v>
      </c>
      <c r="GI51" s="132"/>
    </row>
    <row r="52" spans="1:191" ht="15.75" customHeight="1">
      <c r="A52" s="6"/>
      <c r="B52" s="246" t="s">
        <v>120</v>
      </c>
      <c r="C52" s="73">
        <v>114</v>
      </c>
      <c r="D52" s="73">
        <v>88</v>
      </c>
      <c r="E52" s="73">
        <v>91</v>
      </c>
      <c r="F52" s="73">
        <v>91</v>
      </c>
      <c r="G52" s="73">
        <v>92</v>
      </c>
      <c r="H52" s="73">
        <v>94</v>
      </c>
      <c r="I52" s="73">
        <v>94</v>
      </c>
      <c r="J52" s="73">
        <v>105</v>
      </c>
      <c r="K52" s="73">
        <v>111</v>
      </c>
      <c r="L52" s="73">
        <v>114</v>
      </c>
      <c r="M52" s="73">
        <v>118</v>
      </c>
      <c r="N52" s="73">
        <v>511</v>
      </c>
      <c r="O52" s="73">
        <v>1176</v>
      </c>
      <c r="P52" s="73">
        <v>1158</v>
      </c>
      <c r="Q52" s="73">
        <v>1164</v>
      </c>
      <c r="R52" s="73">
        <v>1159</v>
      </c>
      <c r="S52" s="73">
        <v>1158</v>
      </c>
      <c r="T52" s="73">
        <v>1129</v>
      </c>
      <c r="U52" s="73">
        <v>1114</v>
      </c>
      <c r="V52" s="73">
        <v>1118</v>
      </c>
      <c r="W52" s="73">
        <v>1125</v>
      </c>
      <c r="X52" s="73">
        <v>1129</v>
      </c>
      <c r="Y52" s="73">
        <v>1123</v>
      </c>
      <c r="Z52" s="73">
        <v>1114</v>
      </c>
      <c r="AA52" s="73">
        <v>1122</v>
      </c>
      <c r="AB52" s="73">
        <v>1150</v>
      </c>
      <c r="AC52" s="73">
        <v>1139</v>
      </c>
      <c r="AD52" s="73">
        <v>1150</v>
      </c>
      <c r="AE52" s="73">
        <v>1188</v>
      </c>
      <c r="AF52" s="73">
        <v>1204</v>
      </c>
      <c r="AG52" s="73">
        <v>1184</v>
      </c>
      <c r="AH52" s="73">
        <v>1192</v>
      </c>
      <c r="AI52" s="73">
        <v>1190</v>
      </c>
      <c r="AJ52" s="73">
        <v>1174</v>
      </c>
      <c r="AK52" s="73">
        <v>1175</v>
      </c>
      <c r="AL52" s="79">
        <v>1178</v>
      </c>
      <c r="AM52" s="73">
        <v>1081</v>
      </c>
      <c r="AN52" s="171">
        <v>1049</v>
      </c>
      <c r="AO52" s="73">
        <v>1052</v>
      </c>
      <c r="AP52" s="73">
        <v>1047</v>
      </c>
      <c r="AQ52" s="73">
        <v>1053</v>
      </c>
      <c r="AR52" s="73">
        <v>1039</v>
      </c>
      <c r="AS52" s="73">
        <v>1027</v>
      </c>
      <c r="AT52" s="73">
        <v>1034</v>
      </c>
      <c r="AU52" s="73">
        <v>1030</v>
      </c>
      <c r="AV52" s="73">
        <v>1058</v>
      </c>
      <c r="AW52" s="83">
        <v>1076</v>
      </c>
      <c r="AX52" s="73">
        <v>1073</v>
      </c>
      <c r="AY52" s="73">
        <v>689</v>
      </c>
      <c r="AZ52" s="83">
        <v>711</v>
      </c>
      <c r="BA52" s="83">
        <v>726</v>
      </c>
      <c r="BB52" s="83">
        <v>729</v>
      </c>
      <c r="BC52" s="83">
        <v>711</v>
      </c>
      <c r="BD52" s="83">
        <v>714</v>
      </c>
      <c r="BE52" s="83">
        <v>727</v>
      </c>
      <c r="BF52" s="83">
        <v>717</v>
      </c>
      <c r="BG52" s="83">
        <v>675</v>
      </c>
      <c r="BH52" s="83">
        <v>680</v>
      </c>
      <c r="BI52" s="83">
        <v>627</v>
      </c>
      <c r="BJ52" s="83">
        <v>643</v>
      </c>
      <c r="BK52" s="83">
        <v>668</v>
      </c>
      <c r="BL52" s="83">
        <v>668</v>
      </c>
      <c r="BM52" s="83">
        <v>666</v>
      </c>
      <c r="BN52" s="83">
        <v>665</v>
      </c>
      <c r="BO52" s="25">
        <v>658</v>
      </c>
      <c r="BP52" s="25">
        <v>695</v>
      </c>
      <c r="BQ52" s="25">
        <v>686</v>
      </c>
      <c r="BR52" s="25">
        <v>687</v>
      </c>
      <c r="BS52" s="25">
        <v>696</v>
      </c>
      <c r="BT52" s="62">
        <v>710</v>
      </c>
      <c r="BU52" s="85">
        <v>2701</v>
      </c>
      <c r="BV52" s="85">
        <v>2769</v>
      </c>
      <c r="BW52" s="85">
        <v>2685</v>
      </c>
      <c r="BX52" s="85">
        <v>2658</v>
      </c>
      <c r="BY52" s="85">
        <v>2631</v>
      </c>
      <c r="BZ52" s="85">
        <v>2606</v>
      </c>
      <c r="CA52" s="78">
        <v>2604</v>
      </c>
      <c r="CB52" s="85">
        <v>2557</v>
      </c>
      <c r="CC52" s="85">
        <v>2572</v>
      </c>
      <c r="CD52" s="85">
        <v>2622</v>
      </c>
      <c r="CE52" s="78">
        <v>2618</v>
      </c>
      <c r="CF52" s="85">
        <v>2703</v>
      </c>
      <c r="CG52" s="85">
        <v>2732</v>
      </c>
      <c r="CH52" s="79">
        <v>2670</v>
      </c>
      <c r="CI52" s="68">
        <v>2695</v>
      </c>
      <c r="CJ52" s="85">
        <v>2710</v>
      </c>
      <c r="CK52" s="79">
        <v>2747</v>
      </c>
      <c r="CL52" s="79">
        <v>2763</v>
      </c>
      <c r="CM52" s="68">
        <v>2837</v>
      </c>
      <c r="CN52" s="85">
        <v>2807</v>
      </c>
      <c r="CO52" s="67">
        <v>2794</v>
      </c>
      <c r="CP52" s="170">
        <v>2818</v>
      </c>
      <c r="CQ52" s="170">
        <v>2873</v>
      </c>
      <c r="CR52" s="170">
        <v>2760</v>
      </c>
      <c r="CS52" s="170">
        <v>2812</v>
      </c>
      <c r="CT52" s="170">
        <v>2757</v>
      </c>
      <c r="CU52" s="170">
        <v>2687</v>
      </c>
      <c r="CV52" s="79">
        <v>2747</v>
      </c>
      <c r="CW52" s="79">
        <v>2760</v>
      </c>
      <c r="CX52" s="170">
        <v>2703</v>
      </c>
      <c r="CY52" s="85">
        <v>2719</v>
      </c>
      <c r="CZ52" s="85">
        <v>2632</v>
      </c>
      <c r="DA52" s="170">
        <v>2641</v>
      </c>
      <c r="DB52" s="170">
        <v>2641</v>
      </c>
      <c r="DC52" s="170">
        <v>4138</v>
      </c>
      <c r="DD52" s="85">
        <v>4314</v>
      </c>
      <c r="DE52" s="85">
        <v>4247</v>
      </c>
      <c r="DF52" s="85">
        <v>4241</v>
      </c>
      <c r="DG52" s="85">
        <v>4175</v>
      </c>
      <c r="DH52" s="79">
        <v>4183</v>
      </c>
      <c r="DI52" s="62">
        <v>4053</v>
      </c>
      <c r="DJ52" s="79">
        <v>4040</v>
      </c>
      <c r="DK52" s="79">
        <v>3911</v>
      </c>
      <c r="DL52" s="79">
        <v>3804</v>
      </c>
      <c r="DM52" s="79">
        <v>3589</v>
      </c>
      <c r="DN52" s="79">
        <v>3740</v>
      </c>
      <c r="DO52" s="79">
        <v>3828</v>
      </c>
      <c r="DP52" s="79">
        <v>3646</v>
      </c>
      <c r="DQ52" s="79">
        <v>3665</v>
      </c>
      <c r="DR52" s="79">
        <v>3723</v>
      </c>
      <c r="DS52" s="79">
        <v>4019</v>
      </c>
      <c r="DT52" s="79">
        <v>4421</v>
      </c>
      <c r="DU52" s="79">
        <v>4579</v>
      </c>
      <c r="DV52" s="79">
        <v>5561</v>
      </c>
      <c r="DW52" s="79">
        <v>6183</v>
      </c>
      <c r="DX52" s="79">
        <v>6039</v>
      </c>
      <c r="DY52" s="79">
        <v>6129</v>
      </c>
      <c r="DZ52" s="79">
        <v>5907</v>
      </c>
      <c r="EA52" s="79">
        <v>5892</v>
      </c>
      <c r="EB52" s="79">
        <v>5493</v>
      </c>
      <c r="EC52" s="79">
        <v>5211</v>
      </c>
      <c r="ED52" s="79">
        <v>5258</v>
      </c>
      <c r="EE52" s="79">
        <v>5174</v>
      </c>
      <c r="EF52" s="79">
        <v>4244</v>
      </c>
      <c r="EG52" s="79">
        <v>4088</v>
      </c>
      <c r="EH52" s="273">
        <v>3997</v>
      </c>
      <c r="EI52" s="273">
        <v>3974.171</v>
      </c>
      <c r="EJ52" s="79">
        <v>4011.716</v>
      </c>
      <c r="EK52" s="79">
        <v>3943.024</v>
      </c>
      <c r="EL52" s="79">
        <v>3698.564</v>
      </c>
      <c r="EM52" s="79">
        <v>3821.804</v>
      </c>
      <c r="EN52" s="79">
        <v>3751.092</v>
      </c>
      <c r="EO52" s="79">
        <v>3846.553</v>
      </c>
      <c r="EP52" s="79">
        <v>3576</v>
      </c>
      <c r="EQ52" s="79">
        <v>3626</v>
      </c>
      <c r="ER52" s="79">
        <v>3795</v>
      </c>
      <c r="ES52" s="79">
        <v>4215</v>
      </c>
      <c r="ET52" s="79">
        <v>4222</v>
      </c>
      <c r="EU52" s="79">
        <v>4388</v>
      </c>
      <c r="EV52" s="79">
        <v>4137</v>
      </c>
      <c r="EW52" s="79">
        <v>4509</v>
      </c>
      <c r="EX52" s="79">
        <v>4581</v>
      </c>
      <c r="EY52" s="79">
        <v>4469</v>
      </c>
      <c r="EZ52" s="79">
        <v>4514</v>
      </c>
      <c r="FA52" s="85">
        <v>4342</v>
      </c>
      <c r="FB52" s="85">
        <v>4022</v>
      </c>
      <c r="FC52" s="85">
        <v>3957</v>
      </c>
      <c r="FD52" s="118">
        <v>4147</v>
      </c>
      <c r="FE52" s="110">
        <v>4293</v>
      </c>
      <c r="FF52" s="110">
        <v>4256</v>
      </c>
      <c r="FG52" s="110">
        <v>4330</v>
      </c>
      <c r="FH52" s="110">
        <v>4329</v>
      </c>
      <c r="FI52" s="110">
        <v>4248</v>
      </c>
      <c r="FJ52" s="110">
        <v>4334</v>
      </c>
      <c r="FK52" s="110">
        <v>4403</v>
      </c>
      <c r="FL52" s="110">
        <v>4387</v>
      </c>
      <c r="FM52" s="110">
        <v>4343</v>
      </c>
      <c r="FN52" s="110">
        <v>4377</v>
      </c>
      <c r="FO52" s="320">
        <v>4433</v>
      </c>
      <c r="FP52" s="118">
        <v>4599</v>
      </c>
      <c r="FQ52" s="112">
        <v>4506</v>
      </c>
      <c r="FR52" s="112">
        <v>4526</v>
      </c>
      <c r="FS52" s="112">
        <v>4490</v>
      </c>
      <c r="FT52" s="110">
        <v>4456</v>
      </c>
      <c r="FU52" s="110">
        <v>4269</v>
      </c>
      <c r="FV52" s="110">
        <v>4168</v>
      </c>
      <c r="FW52" s="110">
        <v>4105</v>
      </c>
      <c r="FX52" s="110">
        <v>4344</v>
      </c>
      <c r="FY52" s="110">
        <v>4445</v>
      </c>
      <c r="FZ52" s="110">
        <v>4455</v>
      </c>
      <c r="GA52" s="320">
        <v>4689</v>
      </c>
      <c r="GB52" s="118">
        <v>4841</v>
      </c>
      <c r="GC52" s="110">
        <v>4826</v>
      </c>
      <c r="GD52" s="320">
        <v>4739</v>
      </c>
      <c r="GE52" s="377">
        <v>4738</v>
      </c>
      <c r="GF52" s="377">
        <v>4694</v>
      </c>
      <c r="GG52" s="377">
        <v>4752</v>
      </c>
      <c r="GH52" s="377">
        <v>4667</v>
      </c>
      <c r="GI52" s="132"/>
    </row>
    <row r="53" spans="1:191" s="12" customFormat="1" ht="15" customHeight="1">
      <c r="A53" s="13"/>
      <c r="B53" s="246" t="s">
        <v>146</v>
      </c>
      <c r="C53" s="73"/>
      <c r="D53" s="73"/>
      <c r="E53" s="73"/>
      <c r="F53" s="73"/>
      <c r="G53" s="73"/>
      <c r="H53" s="73"/>
      <c r="I53" s="73"/>
      <c r="J53" s="73"/>
      <c r="K53" s="73"/>
      <c r="L53" s="73">
        <v>1826</v>
      </c>
      <c r="M53" s="73">
        <v>3065</v>
      </c>
      <c r="N53" s="73">
        <v>5765</v>
      </c>
      <c r="O53" s="73">
        <v>6137.5560000000005</v>
      </c>
      <c r="P53" s="73">
        <v>7168.438</v>
      </c>
      <c r="Q53" s="73">
        <v>8685.696</v>
      </c>
      <c r="R53" s="73">
        <v>10476.222</v>
      </c>
      <c r="S53" s="73">
        <v>8961.706</v>
      </c>
      <c r="T53" s="73">
        <v>11831.854000000001</v>
      </c>
      <c r="U53" s="73">
        <v>9747.243</v>
      </c>
      <c r="V53" s="73">
        <v>10797.847000000002</v>
      </c>
      <c r="W53" s="73">
        <v>9921.887</v>
      </c>
      <c r="X53" s="73">
        <v>9214.027</v>
      </c>
      <c r="Y53" s="73">
        <v>11752.904999999999</v>
      </c>
      <c r="Z53" s="73">
        <v>11683.327000000001</v>
      </c>
      <c r="AA53" s="73">
        <v>12775.858</v>
      </c>
      <c r="AB53" s="73">
        <v>14390.583</v>
      </c>
      <c r="AC53" s="73">
        <v>16360.011</v>
      </c>
      <c r="AD53" s="73">
        <v>16220.34</v>
      </c>
      <c r="AE53" s="73">
        <v>17777.055</v>
      </c>
      <c r="AF53" s="73">
        <v>16260.791</v>
      </c>
      <c r="AG53" s="73">
        <v>16072.725999999999</v>
      </c>
      <c r="AH53" s="73">
        <v>16517.478</v>
      </c>
      <c r="AI53" s="73">
        <v>17472.492</v>
      </c>
      <c r="AJ53" s="73">
        <v>18903.548</v>
      </c>
      <c r="AK53" s="73">
        <v>17883.361</v>
      </c>
      <c r="AL53" s="79">
        <v>16704.629</v>
      </c>
      <c r="AM53" s="73">
        <v>21170.425</v>
      </c>
      <c r="AN53" s="171">
        <v>20382.173000000003</v>
      </c>
      <c r="AO53" s="73">
        <v>18629.220999999998</v>
      </c>
      <c r="AP53" s="73">
        <v>19258.322</v>
      </c>
      <c r="AQ53" s="73">
        <v>21763.633</v>
      </c>
      <c r="AR53" s="73">
        <v>22828.845999999998</v>
      </c>
      <c r="AS53" s="73">
        <v>24032.887000000002</v>
      </c>
      <c r="AT53" s="73">
        <v>27021.714</v>
      </c>
      <c r="AU53" s="73">
        <v>27662.297000000002</v>
      </c>
      <c r="AV53" s="73">
        <v>26917.782</v>
      </c>
      <c r="AW53" s="83">
        <v>28419.268999999997</v>
      </c>
      <c r="AX53" s="73">
        <v>30749.391000000003</v>
      </c>
      <c r="AY53" s="73">
        <v>36028.794</v>
      </c>
      <c r="AZ53" s="83">
        <v>36493.222</v>
      </c>
      <c r="BA53" s="83">
        <v>37518.448</v>
      </c>
      <c r="BB53" s="83">
        <v>39942.133</v>
      </c>
      <c r="BC53" s="83">
        <v>40849.215000000004</v>
      </c>
      <c r="BD53" s="83">
        <v>44664.69700000001</v>
      </c>
      <c r="BE53" s="83">
        <v>44868.086</v>
      </c>
      <c r="BF53" s="83">
        <v>45441.469</v>
      </c>
      <c r="BG53" s="83">
        <v>43884.248</v>
      </c>
      <c r="BH53" s="83">
        <v>50212.117999999995</v>
      </c>
      <c r="BI53" s="83">
        <v>48549.763</v>
      </c>
      <c r="BJ53" s="83">
        <v>51526.157</v>
      </c>
      <c r="BK53" s="83">
        <v>54472.185</v>
      </c>
      <c r="BL53" s="83">
        <v>48554.37299999999</v>
      </c>
      <c r="BM53" s="83">
        <v>45081.32400000001</v>
      </c>
      <c r="BN53" s="83">
        <v>43931.055</v>
      </c>
      <c r="BO53" s="81">
        <v>43670.388</v>
      </c>
      <c r="BP53" s="81">
        <v>43712.798</v>
      </c>
      <c r="BQ53" s="81">
        <v>45190.520000000004</v>
      </c>
      <c r="BR53" s="81">
        <v>47601.121</v>
      </c>
      <c r="BS53" s="81">
        <v>46337.541</v>
      </c>
      <c r="BT53" s="79">
        <v>44091.517</v>
      </c>
      <c r="BU53" s="81">
        <v>45477.082</v>
      </c>
      <c r="BV53" s="81">
        <v>47708.085</v>
      </c>
      <c r="BW53" s="79">
        <v>47627.441</v>
      </c>
      <c r="BX53" s="79">
        <v>48900.779</v>
      </c>
      <c r="BY53" s="79">
        <v>47301.53</v>
      </c>
      <c r="BZ53" s="85">
        <v>46477.490000000005</v>
      </c>
      <c r="CA53" s="81">
        <v>46712.126</v>
      </c>
      <c r="CB53" s="79">
        <v>44500.945</v>
      </c>
      <c r="CC53" s="79">
        <v>45432.262</v>
      </c>
      <c r="CD53" s="79">
        <v>46259.71</v>
      </c>
      <c r="CE53" s="85">
        <v>46667.164</v>
      </c>
      <c r="CF53" s="85">
        <v>49957.96000000001</v>
      </c>
      <c r="CG53" s="85">
        <v>50056.897</v>
      </c>
      <c r="CH53" s="79">
        <v>51321.714</v>
      </c>
      <c r="CI53" s="170">
        <v>55035.214</v>
      </c>
      <c r="CJ53" s="85">
        <v>56144.47</v>
      </c>
      <c r="CK53" s="79">
        <v>55242.9</v>
      </c>
      <c r="CL53" s="79">
        <v>55167.41</v>
      </c>
      <c r="CM53" s="272">
        <v>58546.557</v>
      </c>
      <c r="CN53" s="85">
        <v>59598.468</v>
      </c>
      <c r="CO53" s="67">
        <v>59553.062</v>
      </c>
      <c r="CP53" s="272">
        <v>58245.464</v>
      </c>
      <c r="CQ53" s="272">
        <v>62777.72</v>
      </c>
      <c r="CR53" s="272">
        <v>62859.789000000004</v>
      </c>
      <c r="CS53" s="170">
        <v>63773.925</v>
      </c>
      <c r="CT53" s="170">
        <v>63403.706</v>
      </c>
      <c r="CU53" s="170">
        <v>66886.688</v>
      </c>
      <c r="CV53" s="79">
        <v>66423.365</v>
      </c>
      <c r="CW53" s="79">
        <v>64616.766</v>
      </c>
      <c r="CX53" s="170">
        <v>62678.756</v>
      </c>
      <c r="CY53" s="170">
        <v>65962.417</v>
      </c>
      <c r="CZ53" s="85">
        <v>64396.297999999995</v>
      </c>
      <c r="DA53" s="170">
        <v>70204.025</v>
      </c>
      <c r="DB53" s="170">
        <v>69083.19200000001</v>
      </c>
      <c r="DC53" s="170">
        <v>65962.988</v>
      </c>
      <c r="DD53" s="85">
        <v>64807.492</v>
      </c>
      <c r="DE53" s="85">
        <v>73562.822</v>
      </c>
      <c r="DF53" s="85">
        <v>68146.221</v>
      </c>
      <c r="DG53" s="85">
        <v>73703.211</v>
      </c>
      <c r="DH53" s="79">
        <v>70835.093</v>
      </c>
      <c r="DI53" s="62">
        <v>75536.3</v>
      </c>
      <c r="DJ53" s="79">
        <v>71434.731</v>
      </c>
      <c r="DK53" s="79">
        <v>74937.579</v>
      </c>
      <c r="DL53" s="79">
        <v>74867.234</v>
      </c>
      <c r="DM53" s="79">
        <v>72231.93</v>
      </c>
      <c r="DN53" s="79">
        <v>72168.161</v>
      </c>
      <c r="DO53" s="79">
        <v>74493.50200000001</v>
      </c>
      <c r="DP53" s="79">
        <v>78453.523</v>
      </c>
      <c r="DQ53" s="79">
        <v>78651.68</v>
      </c>
      <c r="DR53" s="79">
        <v>76927.262</v>
      </c>
      <c r="DS53" s="79">
        <v>81114.867</v>
      </c>
      <c r="DT53" s="79">
        <v>79455.852</v>
      </c>
      <c r="DU53" s="79">
        <v>78731.13399999999</v>
      </c>
      <c r="DV53" s="79">
        <v>74698.948</v>
      </c>
      <c r="DW53" s="79">
        <v>73321.321</v>
      </c>
      <c r="DX53" s="79">
        <v>82147.893</v>
      </c>
      <c r="DY53" s="79">
        <v>79700.452</v>
      </c>
      <c r="DZ53" s="79">
        <v>77274.601</v>
      </c>
      <c r="EA53" s="79">
        <v>77796.883</v>
      </c>
      <c r="EB53" s="79">
        <v>76174.413</v>
      </c>
      <c r="EC53" s="79">
        <v>76192.65400000001</v>
      </c>
      <c r="ED53" s="79">
        <v>74364.841</v>
      </c>
      <c r="EE53" s="79">
        <v>65994.534</v>
      </c>
      <c r="EF53" s="79">
        <v>67057.219</v>
      </c>
      <c r="EG53" s="79">
        <v>68280.349</v>
      </c>
      <c r="EH53" s="273">
        <v>70293.155</v>
      </c>
      <c r="EI53" s="273">
        <v>71532.976</v>
      </c>
      <c r="EJ53" s="79">
        <v>70453.00700000001</v>
      </c>
      <c r="EK53" s="79">
        <v>67470.893</v>
      </c>
      <c r="EL53" s="79">
        <v>65591.154</v>
      </c>
      <c r="EM53" s="79">
        <v>64633.295</v>
      </c>
      <c r="EN53" s="79">
        <v>62787.705</v>
      </c>
      <c r="EO53" s="79">
        <v>61770.289000000004</v>
      </c>
      <c r="EP53" s="79">
        <v>55915.798</v>
      </c>
      <c r="EQ53" s="79">
        <v>57064.522</v>
      </c>
      <c r="ER53" s="79">
        <v>54316.39</v>
      </c>
      <c r="ES53" s="79">
        <v>52140.732</v>
      </c>
      <c r="ET53" s="79">
        <v>52340.205</v>
      </c>
      <c r="EU53" s="79">
        <v>51271.072</v>
      </c>
      <c r="EV53" s="79">
        <v>51489.16499999999</v>
      </c>
      <c r="EW53" s="79">
        <v>48674.11</v>
      </c>
      <c r="EX53" s="79">
        <v>48582.836</v>
      </c>
      <c r="EY53" s="79">
        <v>48840.094</v>
      </c>
      <c r="EZ53" s="79">
        <v>48458.395000000004</v>
      </c>
      <c r="FA53" s="85">
        <v>46965.384999999995</v>
      </c>
      <c r="FB53" s="85">
        <v>46273.07</v>
      </c>
      <c r="FC53" s="85">
        <v>46333.933</v>
      </c>
      <c r="FD53" s="118">
        <v>46511.166</v>
      </c>
      <c r="FE53" s="110">
        <v>47507.379</v>
      </c>
      <c r="FF53" s="110">
        <v>47547.08500000001</v>
      </c>
      <c r="FG53" s="110">
        <v>48062.312000000005</v>
      </c>
      <c r="FH53" s="110">
        <v>47426.619</v>
      </c>
      <c r="FI53" s="110">
        <v>47746.009</v>
      </c>
      <c r="FJ53" s="110">
        <v>47034.036</v>
      </c>
      <c r="FK53" s="110">
        <v>48454.325</v>
      </c>
      <c r="FL53" s="110">
        <v>48548.521</v>
      </c>
      <c r="FM53" s="110">
        <v>48498</v>
      </c>
      <c r="FN53" s="110">
        <v>48953</v>
      </c>
      <c r="FO53" s="320">
        <v>51157</v>
      </c>
      <c r="FP53" s="319">
        <v>52181</v>
      </c>
      <c r="FQ53" s="112">
        <v>52053</v>
      </c>
      <c r="FR53" s="112">
        <v>53347</v>
      </c>
      <c r="FS53" s="112">
        <v>55194</v>
      </c>
      <c r="FT53" s="110">
        <v>55713</v>
      </c>
      <c r="FU53" s="110">
        <v>58528</v>
      </c>
      <c r="FV53" s="110">
        <v>60451</v>
      </c>
      <c r="FW53" s="110">
        <v>62142</v>
      </c>
      <c r="FX53" s="110">
        <v>61807</v>
      </c>
      <c r="FY53" s="110">
        <v>63810</v>
      </c>
      <c r="FZ53" s="396">
        <v>65810</v>
      </c>
      <c r="GA53" s="413">
        <v>68287</v>
      </c>
      <c r="GB53" s="430">
        <v>67549</v>
      </c>
      <c r="GC53" s="396">
        <v>69220</v>
      </c>
      <c r="GD53" s="320">
        <v>69857</v>
      </c>
      <c r="GE53" s="396">
        <v>69794</v>
      </c>
      <c r="GF53" s="396">
        <v>68136</v>
      </c>
      <c r="GG53" s="110">
        <v>69708</v>
      </c>
      <c r="GH53" s="91">
        <v>68855</v>
      </c>
      <c r="GI53" s="393"/>
    </row>
    <row r="54" spans="1:191" ht="15" customHeight="1">
      <c r="A54" s="6"/>
      <c r="B54" s="246" t="s">
        <v>41</v>
      </c>
      <c r="C54" s="80">
        <v>1802</v>
      </c>
      <c r="D54" s="80">
        <v>2046</v>
      </c>
      <c r="E54" s="80">
        <v>2861</v>
      </c>
      <c r="F54" s="80">
        <v>2515</v>
      </c>
      <c r="G54" s="80">
        <v>3159</v>
      </c>
      <c r="H54" s="80">
        <v>4056</v>
      </c>
      <c r="I54" s="80">
        <v>4568</v>
      </c>
      <c r="J54" s="80">
        <v>6339</v>
      </c>
      <c r="K54" s="80">
        <v>6404</v>
      </c>
      <c r="L54" s="80">
        <v>5499</v>
      </c>
      <c r="M54" s="80">
        <v>3728</v>
      </c>
      <c r="N54" s="80">
        <v>2016</v>
      </c>
      <c r="O54" s="80">
        <v>2795.604</v>
      </c>
      <c r="P54" s="80">
        <v>3772.478</v>
      </c>
      <c r="Q54" s="80">
        <v>3256.395</v>
      </c>
      <c r="R54" s="80">
        <v>1990.506</v>
      </c>
      <c r="S54" s="80">
        <v>2034.615</v>
      </c>
      <c r="T54" s="80">
        <v>580.33</v>
      </c>
      <c r="U54" s="80">
        <v>2123.797</v>
      </c>
      <c r="V54" s="80">
        <v>1084.263</v>
      </c>
      <c r="W54" s="80">
        <v>1227.478</v>
      </c>
      <c r="X54" s="80">
        <v>3142.695</v>
      </c>
      <c r="Y54" s="80">
        <v>1772.563</v>
      </c>
      <c r="Z54" s="80">
        <v>2784.744</v>
      </c>
      <c r="AA54" s="80">
        <v>3947.845</v>
      </c>
      <c r="AB54" s="80">
        <v>2795.14</v>
      </c>
      <c r="AC54" s="80">
        <v>1395.289</v>
      </c>
      <c r="AD54" s="80">
        <v>2127.409</v>
      </c>
      <c r="AE54" s="80">
        <v>1074.742</v>
      </c>
      <c r="AF54" s="80">
        <v>2403.623</v>
      </c>
      <c r="AG54" s="80">
        <v>1801.842</v>
      </c>
      <c r="AH54" s="80">
        <v>1539.432</v>
      </c>
      <c r="AI54" s="80">
        <v>2409.553</v>
      </c>
      <c r="AJ54" s="80">
        <v>1398.227</v>
      </c>
      <c r="AK54" s="80">
        <v>2689.387</v>
      </c>
      <c r="AL54" s="79">
        <v>2137.183</v>
      </c>
      <c r="AM54" s="80">
        <v>3906.31</v>
      </c>
      <c r="AN54" s="167">
        <v>3483.225</v>
      </c>
      <c r="AO54" s="80">
        <v>3039.258</v>
      </c>
      <c r="AP54" s="80">
        <v>2674.196</v>
      </c>
      <c r="AQ54" s="80">
        <v>2437.193</v>
      </c>
      <c r="AR54" s="73">
        <v>2141.788</v>
      </c>
      <c r="AS54" s="73">
        <v>1769.775</v>
      </c>
      <c r="AT54" s="73">
        <v>1530.638</v>
      </c>
      <c r="AU54" s="73">
        <v>1232.095</v>
      </c>
      <c r="AV54" s="73">
        <v>1574.881</v>
      </c>
      <c r="AW54" s="83">
        <v>1367.742</v>
      </c>
      <c r="AX54" s="73">
        <v>1242.861</v>
      </c>
      <c r="AY54" s="73">
        <v>1657.215</v>
      </c>
      <c r="AZ54" s="83">
        <v>1473.975</v>
      </c>
      <c r="BA54" s="83">
        <v>1341.493</v>
      </c>
      <c r="BB54" s="83">
        <v>1218.452</v>
      </c>
      <c r="BC54" s="68">
        <v>921.726</v>
      </c>
      <c r="BD54" s="83">
        <v>809.857</v>
      </c>
      <c r="BE54" s="83">
        <v>1033.159</v>
      </c>
      <c r="BF54" s="83">
        <v>1701.27</v>
      </c>
      <c r="BG54" s="83">
        <v>1928.256</v>
      </c>
      <c r="BH54" s="83">
        <v>1600.246</v>
      </c>
      <c r="BI54" s="83">
        <v>1349.305</v>
      </c>
      <c r="BJ54" s="83">
        <v>1517.794</v>
      </c>
      <c r="BK54" s="83">
        <v>3818.111</v>
      </c>
      <c r="BL54" s="83">
        <v>5342.681</v>
      </c>
      <c r="BM54" s="83">
        <v>5296.466</v>
      </c>
      <c r="BN54" s="83">
        <v>4409.679</v>
      </c>
      <c r="BO54" s="78">
        <v>4158.919</v>
      </c>
      <c r="BP54" s="78">
        <v>3439.532</v>
      </c>
      <c r="BQ54" s="78">
        <v>2834.328</v>
      </c>
      <c r="BR54" s="78">
        <v>2516.352</v>
      </c>
      <c r="BS54" s="78">
        <v>2317.796</v>
      </c>
      <c r="BT54" s="79">
        <v>2158.441</v>
      </c>
      <c r="BU54" s="78">
        <v>2159.516</v>
      </c>
      <c r="BV54" s="85">
        <v>2175.847</v>
      </c>
      <c r="BW54" s="85">
        <v>1911.736</v>
      </c>
      <c r="BX54" s="85">
        <v>1651.252</v>
      </c>
      <c r="BY54" s="85">
        <v>1421.992</v>
      </c>
      <c r="BZ54" s="85">
        <v>1137.501</v>
      </c>
      <c r="CA54" s="78">
        <v>1474.376</v>
      </c>
      <c r="CB54" s="85">
        <v>1275.595</v>
      </c>
      <c r="CC54" s="85">
        <v>1640.555</v>
      </c>
      <c r="CD54" s="85">
        <v>1218.884</v>
      </c>
      <c r="CE54" s="78">
        <v>1290.818</v>
      </c>
      <c r="CF54" s="85">
        <v>1367.858</v>
      </c>
      <c r="CG54" s="85">
        <v>1751.859</v>
      </c>
      <c r="CH54" s="79">
        <v>1690.438</v>
      </c>
      <c r="CI54" s="68">
        <v>1533.078</v>
      </c>
      <c r="CJ54" s="85">
        <v>1362.629</v>
      </c>
      <c r="CK54" s="79">
        <v>1236.635</v>
      </c>
      <c r="CL54" s="79">
        <v>1042.183</v>
      </c>
      <c r="CM54" s="272">
        <v>1404.872</v>
      </c>
      <c r="CN54" s="85">
        <v>1162.493</v>
      </c>
      <c r="CO54" s="67">
        <v>1243.824</v>
      </c>
      <c r="CP54" s="170">
        <v>1556.275</v>
      </c>
      <c r="CQ54" s="170">
        <v>1296.601</v>
      </c>
      <c r="CR54" s="170">
        <v>971.549</v>
      </c>
      <c r="CS54" s="170">
        <v>1193.156</v>
      </c>
      <c r="CT54" s="170">
        <v>1404.5</v>
      </c>
      <c r="CU54" s="170">
        <v>1545.503</v>
      </c>
      <c r="CV54" s="79">
        <v>1563.47</v>
      </c>
      <c r="CW54" s="79">
        <v>1307.801</v>
      </c>
      <c r="CX54" s="170">
        <v>1589.129</v>
      </c>
      <c r="CY54" s="170">
        <v>1974.697</v>
      </c>
      <c r="CZ54" s="85">
        <v>1752.899</v>
      </c>
      <c r="DA54" s="170">
        <v>2087.517</v>
      </c>
      <c r="DB54" s="170">
        <v>1669.139</v>
      </c>
      <c r="DC54" s="170">
        <v>3022.925</v>
      </c>
      <c r="DD54" s="85">
        <v>1912.591</v>
      </c>
      <c r="DE54" s="85">
        <v>1785.534</v>
      </c>
      <c r="DF54" s="85">
        <v>2936.028</v>
      </c>
      <c r="DG54" s="85">
        <v>2310.122</v>
      </c>
      <c r="DH54" s="79">
        <v>2800.702</v>
      </c>
      <c r="DI54" s="62">
        <v>2722.255</v>
      </c>
      <c r="DJ54" s="79">
        <v>3160.358</v>
      </c>
      <c r="DK54" s="79">
        <v>3002.308</v>
      </c>
      <c r="DL54" s="79">
        <v>4621.735</v>
      </c>
      <c r="DM54" s="79">
        <v>6746.201</v>
      </c>
      <c r="DN54" s="79">
        <v>6442.396</v>
      </c>
      <c r="DO54" s="79">
        <v>5742.079</v>
      </c>
      <c r="DP54" s="79">
        <v>5836.983</v>
      </c>
      <c r="DQ54" s="79">
        <v>5617.32</v>
      </c>
      <c r="DR54" s="79">
        <v>5487.402</v>
      </c>
      <c r="DS54" s="79">
        <v>5344.717</v>
      </c>
      <c r="DT54" s="79">
        <v>5166.057</v>
      </c>
      <c r="DU54" s="79">
        <v>5966.114</v>
      </c>
      <c r="DV54" s="79">
        <v>7727.434</v>
      </c>
      <c r="DW54" s="79">
        <v>6890.275</v>
      </c>
      <c r="DX54" s="79">
        <v>6895.883</v>
      </c>
      <c r="DY54" s="79">
        <v>6489.641</v>
      </c>
      <c r="DZ54" s="79">
        <v>5553.09</v>
      </c>
      <c r="EA54" s="79">
        <v>4337.293</v>
      </c>
      <c r="EB54" s="79">
        <v>3841.941</v>
      </c>
      <c r="EC54" s="79">
        <v>3612.523</v>
      </c>
      <c r="ED54" s="79">
        <v>4915.016</v>
      </c>
      <c r="EE54" s="81">
        <v>6183.518</v>
      </c>
      <c r="EF54" s="85">
        <v>5483.346</v>
      </c>
      <c r="EG54" s="85">
        <v>5164.735</v>
      </c>
      <c r="EH54" s="273">
        <v>4594.126</v>
      </c>
      <c r="EI54" s="273">
        <v>3694.996</v>
      </c>
      <c r="EJ54" s="79">
        <v>2765.617</v>
      </c>
      <c r="EK54" s="79">
        <v>1639.312</v>
      </c>
      <c r="EL54" s="79">
        <v>493.093</v>
      </c>
      <c r="EM54" s="79">
        <v>385.969</v>
      </c>
      <c r="EN54" s="79">
        <v>1335.641</v>
      </c>
      <c r="EO54" s="79">
        <v>2252.091</v>
      </c>
      <c r="EP54" s="79">
        <v>2956.354</v>
      </c>
      <c r="EQ54" s="81">
        <v>2119.931</v>
      </c>
      <c r="ER54" s="79">
        <v>1758.102</v>
      </c>
      <c r="ES54" s="79">
        <v>2294.96</v>
      </c>
      <c r="ET54" s="79">
        <v>2344.444</v>
      </c>
      <c r="EU54" s="79">
        <v>2970.827</v>
      </c>
      <c r="EV54" s="79">
        <v>2337.529</v>
      </c>
      <c r="EW54" s="79">
        <v>2835.266</v>
      </c>
      <c r="EX54" s="79">
        <v>2922.567</v>
      </c>
      <c r="EY54" s="79">
        <v>2722.957</v>
      </c>
      <c r="EZ54" s="79">
        <v>2198.841</v>
      </c>
      <c r="FA54" s="85">
        <v>2052.186</v>
      </c>
      <c r="FB54" s="85">
        <v>1899.242</v>
      </c>
      <c r="FC54" s="85">
        <v>2327.471</v>
      </c>
      <c r="FD54" s="118">
        <v>1884.503</v>
      </c>
      <c r="FE54" s="110">
        <v>1495.471</v>
      </c>
      <c r="FF54" s="110">
        <v>1457.634</v>
      </c>
      <c r="FG54" s="110">
        <v>860.727</v>
      </c>
      <c r="FH54" s="110">
        <v>1371.302</v>
      </c>
      <c r="FI54" s="110">
        <v>1757.232</v>
      </c>
      <c r="FJ54" s="110">
        <v>1830.412</v>
      </c>
      <c r="FK54" s="110">
        <v>1830.775</v>
      </c>
      <c r="FL54" s="110">
        <v>2185.969</v>
      </c>
      <c r="FM54" s="110">
        <v>2261</v>
      </c>
      <c r="FN54" s="110">
        <v>2451</v>
      </c>
      <c r="FO54" s="320">
        <v>1736</v>
      </c>
      <c r="FP54" s="319">
        <v>1716</v>
      </c>
      <c r="FQ54" s="112">
        <v>1910</v>
      </c>
      <c r="FR54" s="112">
        <v>2036</v>
      </c>
      <c r="FS54" s="112">
        <v>2103</v>
      </c>
      <c r="FT54" s="110">
        <v>2075</v>
      </c>
      <c r="FU54" s="110">
        <v>1593</v>
      </c>
      <c r="FV54" s="110">
        <v>1712</v>
      </c>
      <c r="FW54" s="110">
        <v>2094</v>
      </c>
      <c r="FX54" s="110">
        <v>2457</v>
      </c>
      <c r="FY54" s="110">
        <v>2782</v>
      </c>
      <c r="FZ54" s="110">
        <v>3137</v>
      </c>
      <c r="GA54" s="320">
        <v>2453</v>
      </c>
      <c r="GB54" s="118">
        <v>2292</v>
      </c>
      <c r="GC54" s="110">
        <v>2162</v>
      </c>
      <c r="GD54" s="320">
        <v>2601</v>
      </c>
      <c r="GE54" s="377">
        <v>2636</v>
      </c>
      <c r="GF54" s="377">
        <v>2462</v>
      </c>
      <c r="GG54" s="377">
        <v>2855</v>
      </c>
      <c r="GH54" s="91">
        <v>2695</v>
      </c>
      <c r="GI54" s="132"/>
    </row>
    <row r="55" spans="1:191" s="215" customFormat="1" ht="15" customHeight="1">
      <c r="A55" s="210"/>
      <c r="B55" s="247" t="s">
        <v>131</v>
      </c>
      <c r="C55" s="220">
        <f aca="true" t="shared" si="54" ref="C55:AF55">SUM(C56)</f>
        <v>316</v>
      </c>
      <c r="D55" s="220">
        <f t="shared" si="54"/>
        <v>247</v>
      </c>
      <c r="E55" s="220">
        <f t="shared" si="54"/>
        <v>251</v>
      </c>
      <c r="F55" s="220">
        <f t="shared" si="54"/>
        <v>253</v>
      </c>
      <c r="G55" s="220">
        <f t="shared" si="54"/>
        <v>251</v>
      </c>
      <c r="H55" s="220">
        <f t="shared" si="54"/>
        <v>258</v>
      </c>
      <c r="I55" s="220">
        <f t="shared" si="54"/>
        <v>257</v>
      </c>
      <c r="J55" s="220">
        <f t="shared" si="54"/>
        <v>256</v>
      </c>
      <c r="K55" s="220">
        <f t="shared" si="54"/>
        <v>256</v>
      </c>
      <c r="L55" s="220">
        <f t="shared" si="54"/>
        <v>147</v>
      </c>
      <c r="M55" s="220">
        <f t="shared" si="54"/>
        <v>150</v>
      </c>
      <c r="N55" s="220">
        <f t="shared" si="54"/>
        <v>790</v>
      </c>
      <c r="O55" s="220">
        <f t="shared" si="54"/>
        <v>795</v>
      </c>
      <c r="P55" s="220">
        <f t="shared" si="54"/>
        <v>792</v>
      </c>
      <c r="Q55" s="220">
        <f t="shared" si="54"/>
        <v>799</v>
      </c>
      <c r="R55" s="220">
        <f t="shared" si="54"/>
        <v>798</v>
      </c>
      <c r="S55" s="220">
        <f t="shared" si="54"/>
        <v>798</v>
      </c>
      <c r="T55" s="220">
        <f t="shared" si="54"/>
        <v>794</v>
      </c>
      <c r="U55" s="220">
        <f t="shared" si="54"/>
        <v>646</v>
      </c>
      <c r="V55" s="220">
        <f t="shared" si="54"/>
        <v>646</v>
      </c>
      <c r="W55" s="220">
        <f t="shared" si="54"/>
        <v>646</v>
      </c>
      <c r="X55" s="220">
        <f t="shared" si="54"/>
        <v>646</v>
      </c>
      <c r="Y55" s="220">
        <f t="shared" si="54"/>
        <v>646</v>
      </c>
      <c r="Z55" s="220">
        <f t="shared" si="54"/>
        <v>646</v>
      </c>
      <c r="AA55" s="220">
        <f t="shared" si="54"/>
        <v>630</v>
      </c>
      <c r="AB55" s="220">
        <f t="shared" si="54"/>
        <v>630</v>
      </c>
      <c r="AC55" s="220">
        <f t="shared" si="54"/>
        <v>630</v>
      </c>
      <c r="AD55" s="220">
        <f t="shared" si="54"/>
        <v>630</v>
      </c>
      <c r="AE55" s="220">
        <f t="shared" si="54"/>
        <v>630</v>
      </c>
      <c r="AF55" s="220">
        <f t="shared" si="54"/>
        <v>630</v>
      </c>
      <c r="AG55" s="211">
        <f aca="true" t="shared" si="55" ref="AG55:AV55">SUM(AG56)</f>
        <v>630</v>
      </c>
      <c r="AH55" s="211">
        <f t="shared" si="55"/>
        <v>630</v>
      </c>
      <c r="AI55" s="211">
        <f t="shared" si="55"/>
        <v>630</v>
      </c>
      <c r="AJ55" s="211">
        <f t="shared" si="55"/>
        <v>630</v>
      </c>
      <c r="AK55" s="211">
        <f t="shared" si="55"/>
        <v>630</v>
      </c>
      <c r="AL55" s="211">
        <f t="shared" si="55"/>
        <v>630</v>
      </c>
      <c r="AM55" s="211">
        <f t="shared" si="55"/>
        <v>596</v>
      </c>
      <c r="AN55" s="221">
        <f t="shared" si="55"/>
        <v>596</v>
      </c>
      <c r="AO55" s="221">
        <f t="shared" si="55"/>
        <v>596</v>
      </c>
      <c r="AP55" s="221">
        <f t="shared" si="55"/>
        <v>596</v>
      </c>
      <c r="AQ55" s="221">
        <f t="shared" si="55"/>
        <v>596</v>
      </c>
      <c r="AR55" s="221">
        <f t="shared" si="55"/>
        <v>596</v>
      </c>
      <c r="AS55" s="221">
        <f t="shared" si="55"/>
        <v>596</v>
      </c>
      <c r="AT55" s="221">
        <f t="shared" si="55"/>
        <v>596</v>
      </c>
      <c r="AU55" s="221">
        <f t="shared" si="55"/>
        <v>596</v>
      </c>
      <c r="AV55" s="221">
        <f t="shared" si="55"/>
        <v>596</v>
      </c>
      <c r="AW55" s="222">
        <f aca="true" t="shared" si="56" ref="AW55:BS55">SUM(AW56)</f>
        <v>596</v>
      </c>
      <c r="AX55" s="221">
        <f t="shared" si="56"/>
        <v>596</v>
      </c>
      <c r="AY55" s="223">
        <f t="shared" si="56"/>
        <v>0.024</v>
      </c>
      <c r="AZ55" s="223">
        <f t="shared" si="56"/>
        <v>0.024</v>
      </c>
      <c r="BA55" s="223">
        <f t="shared" si="56"/>
        <v>0.024</v>
      </c>
      <c r="BB55" s="224">
        <f t="shared" si="56"/>
        <v>0.024</v>
      </c>
      <c r="BC55" s="223">
        <f t="shared" si="56"/>
        <v>0.024</v>
      </c>
      <c r="BD55" s="223">
        <f t="shared" si="56"/>
        <v>0.024</v>
      </c>
      <c r="BE55" s="223">
        <f t="shared" si="56"/>
        <v>0.024</v>
      </c>
      <c r="BF55" s="223">
        <f t="shared" si="56"/>
        <v>0.024</v>
      </c>
      <c r="BG55" s="223">
        <f t="shared" si="56"/>
        <v>0.024</v>
      </c>
      <c r="BH55" s="223">
        <f t="shared" si="56"/>
        <v>0.024</v>
      </c>
      <c r="BI55" s="223">
        <f t="shared" si="56"/>
        <v>0.024</v>
      </c>
      <c r="BJ55" s="223">
        <f t="shared" si="56"/>
        <v>0.024</v>
      </c>
      <c r="BK55" s="223">
        <f t="shared" si="56"/>
        <v>0.024</v>
      </c>
      <c r="BL55" s="223">
        <f t="shared" si="56"/>
        <v>0.024</v>
      </c>
      <c r="BM55" s="223">
        <f t="shared" si="56"/>
        <v>0.024</v>
      </c>
      <c r="BN55" s="223">
        <f t="shared" si="56"/>
        <v>0.024</v>
      </c>
      <c r="BO55" s="223">
        <f t="shared" si="56"/>
        <v>0.024</v>
      </c>
      <c r="BP55" s="223">
        <f t="shared" si="56"/>
        <v>0.024</v>
      </c>
      <c r="BQ55" s="223">
        <f t="shared" si="56"/>
        <v>0.022</v>
      </c>
      <c r="BR55" s="223">
        <f t="shared" si="56"/>
        <v>0.022</v>
      </c>
      <c r="BS55" s="223">
        <f t="shared" si="56"/>
        <v>0.022</v>
      </c>
      <c r="BT55" s="223">
        <f aca="true" t="shared" si="57" ref="BT55:CE55">SUM(BT56)</f>
        <v>0.022</v>
      </c>
      <c r="BU55" s="221">
        <f t="shared" si="57"/>
        <v>2107</v>
      </c>
      <c r="BV55" s="221">
        <f t="shared" si="57"/>
        <v>2139</v>
      </c>
      <c r="BW55" s="222">
        <f t="shared" si="57"/>
        <v>2081</v>
      </c>
      <c r="BX55" s="222">
        <f t="shared" si="57"/>
        <v>2063</v>
      </c>
      <c r="BY55" s="222">
        <f t="shared" si="57"/>
        <v>2034</v>
      </c>
      <c r="BZ55" s="222">
        <f t="shared" si="57"/>
        <v>2015</v>
      </c>
      <c r="CA55" s="222">
        <f t="shared" si="57"/>
        <v>2002</v>
      </c>
      <c r="CB55" s="222">
        <f t="shared" si="57"/>
        <v>1957</v>
      </c>
      <c r="CC55" s="222">
        <f t="shared" si="57"/>
        <v>1963</v>
      </c>
      <c r="CD55" s="222">
        <f t="shared" si="57"/>
        <v>2020</v>
      </c>
      <c r="CE55" s="222">
        <f t="shared" si="57"/>
        <v>2003</v>
      </c>
      <c r="CF55" s="222">
        <f aca="true" t="shared" si="58" ref="CF55:DG55">SUM(CF56)</f>
        <v>2066</v>
      </c>
      <c r="CG55" s="222">
        <f t="shared" si="58"/>
        <v>2083</v>
      </c>
      <c r="CH55" s="222">
        <f t="shared" si="58"/>
        <v>2025</v>
      </c>
      <c r="CI55" s="222">
        <f t="shared" si="58"/>
        <v>2044</v>
      </c>
      <c r="CJ55" s="222">
        <f t="shared" si="58"/>
        <v>2073</v>
      </c>
      <c r="CK55" s="274">
        <f t="shared" si="58"/>
        <v>2088</v>
      </c>
      <c r="CL55" s="274">
        <f t="shared" si="58"/>
        <v>2105</v>
      </c>
      <c r="CM55" s="274">
        <f t="shared" si="58"/>
        <v>2152</v>
      </c>
      <c r="CN55" s="275">
        <f t="shared" si="58"/>
        <v>2125</v>
      </c>
      <c r="CO55" s="275">
        <f>SUM(CO56)</f>
        <v>2124</v>
      </c>
      <c r="CP55" s="275">
        <f t="shared" si="58"/>
        <v>2122</v>
      </c>
      <c r="CQ55" s="275">
        <f t="shared" si="58"/>
        <v>2141</v>
      </c>
      <c r="CR55" s="275">
        <f t="shared" si="58"/>
        <v>2080</v>
      </c>
      <c r="CS55" s="275">
        <f t="shared" si="58"/>
        <v>2105</v>
      </c>
      <c r="CT55" s="275">
        <f t="shared" si="58"/>
        <v>2060</v>
      </c>
      <c r="CU55" s="275">
        <f t="shared" si="58"/>
        <v>2031</v>
      </c>
      <c r="CV55" s="275">
        <f t="shared" si="58"/>
        <v>2052</v>
      </c>
      <c r="CW55" s="275">
        <f t="shared" si="58"/>
        <v>2058</v>
      </c>
      <c r="CX55" s="275">
        <f t="shared" si="58"/>
        <v>2035</v>
      </c>
      <c r="CY55" s="275">
        <f t="shared" si="58"/>
        <v>2051</v>
      </c>
      <c r="CZ55" s="275">
        <f t="shared" si="58"/>
        <v>1998</v>
      </c>
      <c r="DA55" s="275">
        <f t="shared" si="58"/>
        <v>1998</v>
      </c>
      <c r="DB55" s="275">
        <f t="shared" si="58"/>
        <v>1995</v>
      </c>
      <c r="DC55" s="275">
        <f t="shared" si="58"/>
        <v>2011</v>
      </c>
      <c r="DD55" s="275">
        <f t="shared" si="58"/>
        <v>2040</v>
      </c>
      <c r="DE55" s="275">
        <f t="shared" si="58"/>
        <v>2038</v>
      </c>
      <c r="DF55" s="275">
        <f t="shared" si="58"/>
        <v>2030</v>
      </c>
      <c r="DG55" s="275">
        <f t="shared" si="58"/>
        <v>2033</v>
      </c>
      <c r="DH55" s="275">
        <f aca="true" t="shared" si="59" ref="DH55:DM55">SUM(DH56)</f>
        <v>2039</v>
      </c>
      <c r="DI55" s="275">
        <f t="shared" si="59"/>
        <v>2004</v>
      </c>
      <c r="DJ55" s="275">
        <f t="shared" si="59"/>
        <v>1983</v>
      </c>
      <c r="DK55" s="275">
        <f t="shared" si="59"/>
        <v>1996</v>
      </c>
      <c r="DL55" s="275">
        <f t="shared" si="59"/>
        <v>1980</v>
      </c>
      <c r="DM55" s="275">
        <f t="shared" si="59"/>
        <v>1990</v>
      </c>
      <c r="DN55" s="275">
        <f aca="true" t="shared" si="60" ref="DN55:EG55">SUM(DN56)</f>
        <v>2002</v>
      </c>
      <c r="DO55" s="275">
        <f t="shared" si="60"/>
        <v>2006</v>
      </c>
      <c r="DP55" s="275">
        <f t="shared" si="60"/>
        <v>2029</v>
      </c>
      <c r="DQ55" s="275">
        <f t="shared" si="60"/>
        <v>2035</v>
      </c>
      <c r="DR55" s="275">
        <f t="shared" si="60"/>
        <v>2031</v>
      </c>
      <c r="DS55" s="274">
        <f t="shared" si="60"/>
        <v>2037</v>
      </c>
      <c r="DT55" s="274">
        <f t="shared" si="60"/>
        <v>2032</v>
      </c>
      <c r="DU55" s="274">
        <f t="shared" si="60"/>
        <v>2039</v>
      </c>
      <c r="DV55" s="274">
        <f t="shared" si="60"/>
        <v>2045</v>
      </c>
      <c r="DW55" s="274">
        <f t="shared" si="60"/>
        <v>1987</v>
      </c>
      <c r="DX55" s="274">
        <f>SUM(DX56)</f>
        <v>2038</v>
      </c>
      <c r="DY55" s="274">
        <f t="shared" si="60"/>
        <v>2045</v>
      </c>
      <c r="DZ55" s="274">
        <f t="shared" si="60"/>
        <v>2034</v>
      </c>
      <c r="EA55" s="274">
        <f t="shared" si="60"/>
        <v>2009</v>
      </c>
      <c r="EB55" s="274">
        <f t="shared" si="60"/>
        <v>1961</v>
      </c>
      <c r="EC55" s="274">
        <f t="shared" si="60"/>
        <v>1959</v>
      </c>
      <c r="ED55" s="274">
        <f t="shared" si="60"/>
        <v>1937</v>
      </c>
      <c r="EE55" s="276">
        <f t="shared" si="60"/>
        <v>1917</v>
      </c>
      <c r="EF55" s="213">
        <f t="shared" si="60"/>
        <v>1864</v>
      </c>
      <c r="EG55" s="277">
        <f t="shared" si="60"/>
        <v>1871</v>
      </c>
      <c r="EH55" s="278">
        <f aca="true" t="shared" si="61" ref="EH55:EP55">SUM(EH56)</f>
        <v>1825</v>
      </c>
      <c r="EI55" s="278">
        <f t="shared" si="61"/>
        <v>1860</v>
      </c>
      <c r="EJ55" s="277">
        <f t="shared" si="61"/>
        <v>1839</v>
      </c>
      <c r="EK55" s="277">
        <f t="shared" si="61"/>
        <v>1860</v>
      </c>
      <c r="EL55" s="277">
        <f t="shared" si="61"/>
        <v>1851</v>
      </c>
      <c r="EM55" s="277">
        <f t="shared" si="61"/>
        <v>1857</v>
      </c>
      <c r="EN55" s="277">
        <f t="shared" si="61"/>
        <v>1857</v>
      </c>
      <c r="EO55" s="277">
        <f t="shared" si="61"/>
        <v>1850</v>
      </c>
      <c r="EP55" s="277">
        <f t="shared" si="61"/>
        <v>0</v>
      </c>
      <c r="EQ55" s="279">
        <f aca="true" t="shared" si="62" ref="EQ55:FO55">SUM(EQ56)</f>
        <v>0</v>
      </c>
      <c r="ER55" s="279">
        <f t="shared" si="62"/>
        <v>0</v>
      </c>
      <c r="ES55" s="279">
        <f t="shared" si="62"/>
        <v>0</v>
      </c>
      <c r="ET55" s="279">
        <f t="shared" si="62"/>
        <v>0</v>
      </c>
      <c r="EU55" s="279">
        <f t="shared" si="62"/>
        <v>0</v>
      </c>
      <c r="EV55" s="279">
        <f t="shared" si="62"/>
        <v>0</v>
      </c>
      <c r="EW55" s="279">
        <f t="shared" si="62"/>
        <v>0</v>
      </c>
      <c r="EX55" s="277">
        <f t="shared" si="62"/>
        <v>0</v>
      </c>
      <c r="EY55" s="277">
        <f t="shared" si="62"/>
        <v>0</v>
      </c>
      <c r="EZ55" s="280">
        <f t="shared" si="62"/>
        <v>0</v>
      </c>
      <c r="FA55" s="280">
        <f t="shared" si="62"/>
        <v>0</v>
      </c>
      <c r="FB55" s="280">
        <f t="shared" si="62"/>
        <v>0</v>
      </c>
      <c r="FC55" s="277">
        <f t="shared" si="62"/>
        <v>0</v>
      </c>
      <c r="FD55" s="321">
        <f t="shared" si="62"/>
        <v>0</v>
      </c>
      <c r="FE55" s="145">
        <f t="shared" si="62"/>
        <v>0</v>
      </c>
      <c r="FF55" s="145">
        <f t="shared" si="62"/>
        <v>0</v>
      </c>
      <c r="FG55" s="145">
        <f t="shared" si="62"/>
        <v>0</v>
      </c>
      <c r="FH55" s="145">
        <f t="shared" si="62"/>
        <v>0</v>
      </c>
      <c r="FI55" s="145">
        <f t="shared" si="62"/>
        <v>0</v>
      </c>
      <c r="FJ55" s="145">
        <f t="shared" si="62"/>
        <v>0</v>
      </c>
      <c r="FK55" s="145">
        <f t="shared" si="62"/>
        <v>0</v>
      </c>
      <c r="FL55" s="145">
        <f t="shared" si="62"/>
        <v>0</v>
      </c>
      <c r="FM55" s="145">
        <f t="shared" si="62"/>
        <v>0</v>
      </c>
      <c r="FN55" s="145">
        <f t="shared" si="62"/>
        <v>0</v>
      </c>
      <c r="FO55" s="295">
        <f t="shared" si="62"/>
        <v>0</v>
      </c>
      <c r="FP55" s="321">
        <f aca="true" t="shared" si="63" ref="FP55:GG55">SUM(FP56)</f>
        <v>0</v>
      </c>
      <c r="FQ55" s="145">
        <f t="shared" si="63"/>
        <v>0</v>
      </c>
      <c r="FR55" s="145">
        <f t="shared" si="63"/>
        <v>0</v>
      </c>
      <c r="FS55" s="145">
        <f t="shared" si="63"/>
        <v>0</v>
      </c>
      <c r="FT55" s="145">
        <f t="shared" si="63"/>
        <v>0</v>
      </c>
      <c r="FU55" s="145">
        <f t="shared" si="63"/>
        <v>0</v>
      </c>
      <c r="FV55" s="145">
        <f t="shared" si="63"/>
        <v>0</v>
      </c>
      <c r="FW55" s="145">
        <f t="shared" si="63"/>
        <v>0</v>
      </c>
      <c r="FX55" s="145">
        <f t="shared" si="63"/>
        <v>0</v>
      </c>
      <c r="FY55" s="145">
        <f t="shared" si="63"/>
        <v>0</v>
      </c>
      <c r="FZ55" s="145">
        <f t="shared" si="63"/>
        <v>0</v>
      </c>
      <c r="GA55" s="295">
        <f t="shared" si="63"/>
        <v>0</v>
      </c>
      <c r="GB55" s="321">
        <f t="shared" si="63"/>
        <v>0</v>
      </c>
      <c r="GC55" s="145">
        <f t="shared" si="63"/>
        <v>0</v>
      </c>
      <c r="GD55" s="295">
        <f t="shared" si="63"/>
        <v>0</v>
      </c>
      <c r="GE55" s="145">
        <f t="shared" si="63"/>
        <v>0</v>
      </c>
      <c r="GF55" s="145">
        <f t="shared" si="63"/>
        <v>0</v>
      </c>
      <c r="GG55" s="145">
        <f t="shared" si="63"/>
        <v>0</v>
      </c>
      <c r="GH55" s="145">
        <f>SUM(GH56)</f>
        <v>0</v>
      </c>
      <c r="GI55" s="132"/>
    </row>
    <row r="56" spans="1:191" s="215" customFormat="1" ht="15" customHeight="1">
      <c r="A56" s="225"/>
      <c r="B56" s="247" t="s">
        <v>132</v>
      </c>
      <c r="C56" s="220">
        <v>316</v>
      </c>
      <c r="D56" s="218">
        <v>247</v>
      </c>
      <c r="E56" s="218">
        <v>251</v>
      </c>
      <c r="F56" s="218">
        <v>253</v>
      </c>
      <c r="G56" s="218">
        <v>251</v>
      </c>
      <c r="H56" s="218">
        <v>258</v>
      </c>
      <c r="I56" s="218">
        <v>257</v>
      </c>
      <c r="J56" s="218">
        <v>256</v>
      </c>
      <c r="K56" s="218">
        <v>256</v>
      </c>
      <c r="L56" s="218">
        <v>147</v>
      </c>
      <c r="M56" s="218">
        <v>150</v>
      </c>
      <c r="N56" s="218">
        <v>790</v>
      </c>
      <c r="O56" s="218">
        <v>795</v>
      </c>
      <c r="P56" s="218">
        <v>792</v>
      </c>
      <c r="Q56" s="218">
        <v>799</v>
      </c>
      <c r="R56" s="218">
        <v>798</v>
      </c>
      <c r="S56" s="218">
        <v>798</v>
      </c>
      <c r="T56" s="218">
        <v>794</v>
      </c>
      <c r="U56" s="218">
        <v>646</v>
      </c>
      <c r="V56" s="218">
        <v>646</v>
      </c>
      <c r="W56" s="218">
        <v>646</v>
      </c>
      <c r="X56" s="218">
        <v>646</v>
      </c>
      <c r="Y56" s="218">
        <v>646</v>
      </c>
      <c r="Z56" s="218">
        <v>646</v>
      </c>
      <c r="AA56" s="218">
        <v>630</v>
      </c>
      <c r="AB56" s="218">
        <v>630</v>
      </c>
      <c r="AC56" s="218">
        <v>630</v>
      </c>
      <c r="AD56" s="218">
        <v>630</v>
      </c>
      <c r="AE56" s="218">
        <v>630</v>
      </c>
      <c r="AF56" s="218">
        <v>630</v>
      </c>
      <c r="AG56" s="218">
        <v>630</v>
      </c>
      <c r="AH56" s="218">
        <v>630</v>
      </c>
      <c r="AI56" s="218">
        <v>630</v>
      </c>
      <c r="AJ56" s="218">
        <v>630</v>
      </c>
      <c r="AK56" s="218">
        <v>630</v>
      </c>
      <c r="AL56" s="218">
        <v>630</v>
      </c>
      <c r="AM56" s="218">
        <v>596</v>
      </c>
      <c r="AN56" s="218">
        <v>596</v>
      </c>
      <c r="AO56" s="218">
        <v>596</v>
      </c>
      <c r="AP56" s="218">
        <v>596</v>
      </c>
      <c r="AQ56" s="218">
        <v>596</v>
      </c>
      <c r="AR56" s="218">
        <v>596</v>
      </c>
      <c r="AS56" s="218">
        <v>596</v>
      </c>
      <c r="AT56" s="218">
        <v>596</v>
      </c>
      <c r="AU56" s="218">
        <v>596</v>
      </c>
      <c r="AV56" s="218">
        <v>596</v>
      </c>
      <c r="AW56" s="218">
        <v>596</v>
      </c>
      <c r="AX56" s="218">
        <v>596</v>
      </c>
      <c r="AY56" s="226">
        <v>0.024</v>
      </c>
      <c r="AZ56" s="226">
        <v>0.024</v>
      </c>
      <c r="BA56" s="226">
        <v>0.024</v>
      </c>
      <c r="BB56" s="226">
        <v>0.024</v>
      </c>
      <c r="BC56" s="226">
        <v>0.024</v>
      </c>
      <c r="BD56" s="226">
        <v>0.024</v>
      </c>
      <c r="BE56" s="226">
        <v>0.024</v>
      </c>
      <c r="BF56" s="226">
        <v>0.024</v>
      </c>
      <c r="BG56" s="226">
        <v>0.024</v>
      </c>
      <c r="BH56" s="226">
        <v>0.024</v>
      </c>
      <c r="BI56" s="226">
        <v>0.024</v>
      </c>
      <c r="BJ56" s="226">
        <v>0.024</v>
      </c>
      <c r="BK56" s="226">
        <v>0.024</v>
      </c>
      <c r="BL56" s="226">
        <v>0.024</v>
      </c>
      <c r="BM56" s="226">
        <v>0.024</v>
      </c>
      <c r="BN56" s="226">
        <v>0.024</v>
      </c>
      <c r="BO56" s="226">
        <v>0.024</v>
      </c>
      <c r="BP56" s="226">
        <v>0.024</v>
      </c>
      <c r="BQ56" s="226">
        <v>0.022</v>
      </c>
      <c r="BR56" s="226">
        <v>0.022</v>
      </c>
      <c r="BS56" s="226">
        <v>0.022</v>
      </c>
      <c r="BT56" s="226">
        <v>0.022</v>
      </c>
      <c r="BU56" s="218">
        <v>2107</v>
      </c>
      <c r="BV56" s="218">
        <v>2139</v>
      </c>
      <c r="BW56" s="218">
        <v>2081</v>
      </c>
      <c r="BX56" s="218">
        <v>2063</v>
      </c>
      <c r="BY56" s="218">
        <v>2034</v>
      </c>
      <c r="BZ56" s="218">
        <v>2015</v>
      </c>
      <c r="CA56" s="218">
        <v>2002</v>
      </c>
      <c r="CB56" s="218">
        <v>1957</v>
      </c>
      <c r="CC56" s="218">
        <v>1963</v>
      </c>
      <c r="CD56" s="218">
        <v>2020</v>
      </c>
      <c r="CE56" s="218">
        <v>2003</v>
      </c>
      <c r="CF56" s="218">
        <v>2066</v>
      </c>
      <c r="CG56" s="218">
        <v>2083</v>
      </c>
      <c r="CH56" s="218">
        <v>2025</v>
      </c>
      <c r="CI56" s="222">
        <v>2044</v>
      </c>
      <c r="CJ56" s="222">
        <v>2073</v>
      </c>
      <c r="CK56" s="277">
        <v>2088</v>
      </c>
      <c r="CL56" s="277">
        <v>2105</v>
      </c>
      <c r="CM56" s="277">
        <v>2152</v>
      </c>
      <c r="CN56" s="231">
        <v>2125</v>
      </c>
      <c r="CO56" s="231">
        <v>2124</v>
      </c>
      <c r="CP56" s="275">
        <v>2122</v>
      </c>
      <c r="CQ56" s="275">
        <v>2141</v>
      </c>
      <c r="CR56" s="275">
        <v>2080</v>
      </c>
      <c r="CS56" s="275">
        <v>2105</v>
      </c>
      <c r="CT56" s="275">
        <v>2060</v>
      </c>
      <c r="CU56" s="275">
        <v>2031</v>
      </c>
      <c r="CV56" s="275">
        <v>2052</v>
      </c>
      <c r="CW56" s="275">
        <v>2058</v>
      </c>
      <c r="CX56" s="275">
        <v>2035</v>
      </c>
      <c r="CY56" s="275">
        <v>2051</v>
      </c>
      <c r="CZ56" s="275">
        <v>1998</v>
      </c>
      <c r="DA56" s="275">
        <v>1998</v>
      </c>
      <c r="DB56" s="275">
        <v>1995</v>
      </c>
      <c r="DC56" s="275">
        <v>2011</v>
      </c>
      <c r="DD56" s="275">
        <v>2040</v>
      </c>
      <c r="DE56" s="275">
        <v>2038</v>
      </c>
      <c r="DF56" s="275">
        <v>2030</v>
      </c>
      <c r="DG56" s="275">
        <v>2033</v>
      </c>
      <c r="DH56" s="275">
        <v>2039</v>
      </c>
      <c r="DI56" s="275">
        <v>2004</v>
      </c>
      <c r="DJ56" s="275">
        <v>1983</v>
      </c>
      <c r="DK56" s="275">
        <v>1996</v>
      </c>
      <c r="DL56" s="275">
        <v>1980</v>
      </c>
      <c r="DM56" s="275">
        <v>1990</v>
      </c>
      <c r="DN56" s="275">
        <v>2002</v>
      </c>
      <c r="DO56" s="275">
        <v>2006</v>
      </c>
      <c r="DP56" s="275">
        <v>2029</v>
      </c>
      <c r="DQ56" s="275">
        <v>2035</v>
      </c>
      <c r="DR56" s="275">
        <v>2031</v>
      </c>
      <c r="DS56" s="274">
        <v>2037</v>
      </c>
      <c r="DT56" s="274">
        <v>2032</v>
      </c>
      <c r="DU56" s="274">
        <v>2039</v>
      </c>
      <c r="DV56" s="274">
        <v>2045</v>
      </c>
      <c r="DW56" s="274">
        <v>1987</v>
      </c>
      <c r="DX56" s="274">
        <v>2038</v>
      </c>
      <c r="DY56" s="274">
        <v>2045</v>
      </c>
      <c r="DZ56" s="274">
        <v>2034</v>
      </c>
      <c r="EA56" s="274">
        <v>2009</v>
      </c>
      <c r="EB56" s="274">
        <v>1961</v>
      </c>
      <c r="EC56" s="274">
        <v>1959</v>
      </c>
      <c r="ED56" s="274">
        <f>1937</f>
        <v>1937</v>
      </c>
      <c r="EE56" s="276">
        <v>1917</v>
      </c>
      <c r="EF56" s="213">
        <v>1864</v>
      </c>
      <c r="EG56" s="277">
        <v>1871</v>
      </c>
      <c r="EH56" s="278">
        <v>1825</v>
      </c>
      <c r="EI56" s="278">
        <v>1860</v>
      </c>
      <c r="EJ56" s="277">
        <v>1839</v>
      </c>
      <c r="EK56" s="277">
        <v>1860</v>
      </c>
      <c r="EL56" s="277">
        <v>1851</v>
      </c>
      <c r="EM56" s="277">
        <v>1857</v>
      </c>
      <c r="EN56" s="277">
        <v>1857</v>
      </c>
      <c r="EO56" s="277">
        <v>1850</v>
      </c>
      <c r="EP56" s="277">
        <v>0</v>
      </c>
      <c r="EQ56" s="277">
        <v>0</v>
      </c>
      <c r="ER56" s="277">
        <v>0</v>
      </c>
      <c r="ES56" s="277">
        <v>0</v>
      </c>
      <c r="ET56" s="277">
        <v>0</v>
      </c>
      <c r="EU56" s="277">
        <v>0</v>
      </c>
      <c r="EV56" s="277">
        <v>0</v>
      </c>
      <c r="EW56" s="277">
        <v>0</v>
      </c>
      <c r="EX56" s="277">
        <v>0</v>
      </c>
      <c r="EY56" s="277">
        <v>0</v>
      </c>
      <c r="EZ56" s="280">
        <v>0</v>
      </c>
      <c r="FA56" s="280">
        <v>0</v>
      </c>
      <c r="FB56" s="280">
        <v>0</v>
      </c>
      <c r="FC56" s="277">
        <v>0</v>
      </c>
      <c r="FD56" s="321">
        <v>0</v>
      </c>
      <c r="FE56" s="145">
        <v>0</v>
      </c>
      <c r="FF56" s="145">
        <v>0</v>
      </c>
      <c r="FG56" s="145">
        <v>0</v>
      </c>
      <c r="FH56" s="145">
        <v>0</v>
      </c>
      <c r="FI56" s="145">
        <v>0</v>
      </c>
      <c r="FJ56" s="145">
        <v>0</v>
      </c>
      <c r="FK56" s="145">
        <v>0</v>
      </c>
      <c r="FL56" s="145">
        <v>0</v>
      </c>
      <c r="FM56" s="145">
        <v>0</v>
      </c>
      <c r="FN56" s="145">
        <v>0</v>
      </c>
      <c r="FO56" s="295">
        <v>0</v>
      </c>
      <c r="FP56" s="321">
        <v>0</v>
      </c>
      <c r="FQ56" s="145">
        <v>0</v>
      </c>
      <c r="FR56" s="145">
        <v>0</v>
      </c>
      <c r="FS56" s="145">
        <v>0</v>
      </c>
      <c r="FT56" s="145">
        <v>0</v>
      </c>
      <c r="FU56" s="145">
        <v>0</v>
      </c>
      <c r="FV56" s="145">
        <v>0</v>
      </c>
      <c r="FW56" s="145">
        <v>0</v>
      </c>
      <c r="FX56" s="145">
        <v>0</v>
      </c>
      <c r="FY56" s="145">
        <v>0</v>
      </c>
      <c r="FZ56" s="145">
        <v>0</v>
      </c>
      <c r="GA56" s="295">
        <v>0</v>
      </c>
      <c r="GB56" s="321">
        <v>0</v>
      </c>
      <c r="GC56" s="145">
        <v>0</v>
      </c>
      <c r="GD56" s="295">
        <v>0</v>
      </c>
      <c r="GE56" s="145">
        <v>0</v>
      </c>
      <c r="GF56" s="145">
        <v>0</v>
      </c>
      <c r="GG56" s="145">
        <v>0</v>
      </c>
      <c r="GH56" s="145">
        <v>0</v>
      </c>
      <c r="GI56" s="132"/>
    </row>
    <row r="57" spans="1:191" ht="15" customHeight="1">
      <c r="A57" s="6"/>
      <c r="B57" s="149" t="s">
        <v>42</v>
      </c>
      <c r="C57" s="68">
        <f aca="true" t="shared" si="64" ref="C57:AG57">C81-C50</f>
        <v>5108</v>
      </c>
      <c r="D57" s="68">
        <f t="shared" si="64"/>
        <v>5261</v>
      </c>
      <c r="E57" s="68">
        <f t="shared" si="64"/>
        <v>4640</v>
      </c>
      <c r="F57" s="68">
        <f t="shared" si="64"/>
        <v>5018</v>
      </c>
      <c r="G57" s="68">
        <f t="shared" si="64"/>
        <v>4827</v>
      </c>
      <c r="H57" s="68">
        <f t="shared" si="64"/>
        <v>4459</v>
      </c>
      <c r="I57" s="68">
        <f t="shared" si="64"/>
        <v>4637</v>
      </c>
      <c r="J57" s="68">
        <f t="shared" si="64"/>
        <v>4305</v>
      </c>
      <c r="K57" s="68">
        <f t="shared" si="64"/>
        <v>4514</v>
      </c>
      <c r="L57" s="68">
        <f t="shared" si="64"/>
        <v>3551</v>
      </c>
      <c r="M57" s="68">
        <f t="shared" si="64"/>
        <v>4017</v>
      </c>
      <c r="N57" s="68">
        <f t="shared" si="64"/>
        <v>4065</v>
      </c>
      <c r="O57" s="68">
        <f t="shared" si="64"/>
        <v>2904.84</v>
      </c>
      <c r="P57" s="68">
        <f t="shared" si="64"/>
        <v>1598.083999999999</v>
      </c>
      <c r="Q57" s="68">
        <f t="shared" si="64"/>
        <v>1756.9089999999997</v>
      </c>
      <c r="R57" s="68">
        <f t="shared" si="64"/>
        <v>1071.3730000000014</v>
      </c>
      <c r="S57" s="68">
        <f t="shared" si="64"/>
        <v>1884.018</v>
      </c>
      <c r="T57" s="68">
        <f t="shared" si="64"/>
        <v>556.7139999999999</v>
      </c>
      <c r="U57" s="68">
        <f t="shared" si="64"/>
        <v>1497.7729999999992</v>
      </c>
      <c r="V57" s="68">
        <f t="shared" si="64"/>
        <v>799.8899999999994</v>
      </c>
      <c r="W57" s="68">
        <f t="shared" si="64"/>
        <v>1392.4839999999986</v>
      </c>
      <c r="X57" s="68">
        <f t="shared" si="64"/>
        <v>349.27800000000025</v>
      </c>
      <c r="Y57" s="68">
        <f t="shared" si="64"/>
        <v>-777.4679999999989</v>
      </c>
      <c r="Z57" s="68">
        <f t="shared" si="64"/>
        <v>-1290.0710000000017</v>
      </c>
      <c r="AA57" s="68">
        <f t="shared" si="64"/>
        <v>-3420.7030000000013</v>
      </c>
      <c r="AB57" s="68">
        <f t="shared" si="64"/>
        <v>-3815.723000000002</v>
      </c>
      <c r="AC57" s="68">
        <f t="shared" si="64"/>
        <v>-4124.299999999999</v>
      </c>
      <c r="AD57" s="68">
        <f t="shared" si="64"/>
        <v>-4407.749</v>
      </c>
      <c r="AE57" s="68">
        <f t="shared" si="64"/>
        <v>-4776.796999999999</v>
      </c>
      <c r="AF57" s="68">
        <f t="shared" si="64"/>
        <v>-4131.413999999997</v>
      </c>
      <c r="AG57" s="68">
        <f t="shared" si="64"/>
        <v>-2976.5679999999993</v>
      </c>
      <c r="AH57" s="68">
        <f aca="true" t="shared" si="65" ref="AH57:BM57">AH81-AH50</f>
        <v>-2730.91</v>
      </c>
      <c r="AI57" s="68">
        <f t="shared" si="65"/>
        <v>-4534.044999999998</v>
      </c>
      <c r="AJ57" s="68">
        <f t="shared" si="65"/>
        <v>-5098.774999999998</v>
      </c>
      <c r="AK57" s="68">
        <f t="shared" si="65"/>
        <v>-5241.748</v>
      </c>
      <c r="AL57" s="68">
        <f t="shared" si="65"/>
        <v>-2918.8120000000017</v>
      </c>
      <c r="AM57" s="68">
        <f t="shared" si="65"/>
        <v>-8040.735000000001</v>
      </c>
      <c r="AN57" s="68">
        <f t="shared" si="65"/>
        <v>-6600.398000000001</v>
      </c>
      <c r="AO57" s="68">
        <f t="shared" si="65"/>
        <v>-4970.478999999999</v>
      </c>
      <c r="AP57" s="68">
        <f t="shared" si="65"/>
        <v>-4740.518</v>
      </c>
      <c r="AQ57" s="68">
        <f t="shared" si="65"/>
        <v>-6191.826000000001</v>
      </c>
      <c r="AR57" s="68">
        <f t="shared" si="65"/>
        <v>-5963.633999999998</v>
      </c>
      <c r="AS57" s="68">
        <f t="shared" si="65"/>
        <v>-5810.662000000004</v>
      </c>
      <c r="AT57" s="68">
        <f t="shared" si="65"/>
        <v>-9008.351999999999</v>
      </c>
      <c r="AU57" s="68">
        <f t="shared" si="65"/>
        <v>-9213.392000000003</v>
      </c>
      <c r="AV57" s="68">
        <f t="shared" si="65"/>
        <v>-3038.6630000000005</v>
      </c>
      <c r="AW57" s="68">
        <f t="shared" si="65"/>
        <v>-4040.010999999995</v>
      </c>
      <c r="AX57" s="68">
        <f t="shared" si="65"/>
        <v>-4896.252</v>
      </c>
      <c r="AY57" s="68">
        <f t="shared" si="65"/>
        <v>-9566.985</v>
      </c>
      <c r="AZ57" s="68">
        <f t="shared" si="65"/>
        <v>-8805.173000000003</v>
      </c>
      <c r="BA57" s="68">
        <f t="shared" si="65"/>
        <v>-7041.917000000001</v>
      </c>
      <c r="BB57" s="68">
        <f t="shared" si="65"/>
        <v>-8488.561000000002</v>
      </c>
      <c r="BC57" s="68">
        <f t="shared" si="65"/>
        <v>-10875.917000000009</v>
      </c>
      <c r="BD57" s="68">
        <f t="shared" si="65"/>
        <v>-13097.530000000006</v>
      </c>
      <c r="BE57" s="68">
        <f t="shared" si="65"/>
        <v>-10111.221000000005</v>
      </c>
      <c r="BF57" s="68">
        <f t="shared" si="65"/>
        <v>-9512.714999999997</v>
      </c>
      <c r="BG57" s="68">
        <f t="shared" si="65"/>
        <v>-8005.480000000003</v>
      </c>
      <c r="BH57" s="68">
        <f t="shared" si="65"/>
        <v>-15461.339999999997</v>
      </c>
      <c r="BI57" s="68">
        <f t="shared" si="65"/>
        <v>-11961.044000000002</v>
      </c>
      <c r="BJ57" s="68">
        <f t="shared" si="65"/>
        <v>-13885.927000000003</v>
      </c>
      <c r="BK57" s="68">
        <f t="shared" si="65"/>
        <v>-16099.271999999997</v>
      </c>
      <c r="BL57" s="68">
        <f t="shared" si="65"/>
        <v>-12037.029999999992</v>
      </c>
      <c r="BM57" s="68">
        <f t="shared" si="65"/>
        <v>-8072.7660000000105</v>
      </c>
      <c r="BN57" s="68">
        <f aca="true" t="shared" si="66" ref="BN57:CS57">BN81-BN50</f>
        <v>-6972.709999999999</v>
      </c>
      <c r="BO57" s="68">
        <f t="shared" si="66"/>
        <v>-6466.283000000003</v>
      </c>
      <c r="BP57" s="68">
        <f t="shared" si="66"/>
        <v>-5867.306000000004</v>
      </c>
      <c r="BQ57" s="68">
        <f t="shared" si="66"/>
        <v>-6559.826000000008</v>
      </c>
      <c r="BR57" s="68">
        <f t="shared" si="66"/>
        <v>-7359.451000000001</v>
      </c>
      <c r="BS57" s="68">
        <f t="shared" si="66"/>
        <v>-8400.315000000002</v>
      </c>
      <c r="BT57" s="68">
        <f t="shared" si="66"/>
        <v>-5404.9360000000015</v>
      </c>
      <c r="BU57" s="68">
        <f t="shared" si="66"/>
        <v>-5636.598000000005</v>
      </c>
      <c r="BV57" s="68">
        <f t="shared" si="66"/>
        <v>-6868.932000000001</v>
      </c>
      <c r="BW57" s="68">
        <f t="shared" si="66"/>
        <v>-4873.176999999996</v>
      </c>
      <c r="BX57" s="68">
        <f t="shared" si="66"/>
        <v>-8348.031000000003</v>
      </c>
      <c r="BY57" s="68">
        <f t="shared" si="66"/>
        <v>-6266.521999999997</v>
      </c>
      <c r="BZ57" s="68">
        <f t="shared" si="66"/>
        <v>-7540.991000000002</v>
      </c>
      <c r="CA57" s="68">
        <f t="shared" si="66"/>
        <v>-8010.501999999993</v>
      </c>
      <c r="CB57" s="68">
        <f t="shared" si="66"/>
        <v>-3391.540000000001</v>
      </c>
      <c r="CC57" s="68">
        <f t="shared" si="66"/>
        <v>-2825.8170000000027</v>
      </c>
      <c r="CD57" s="68">
        <f t="shared" si="66"/>
        <v>-2903.5939999999973</v>
      </c>
      <c r="CE57" s="68">
        <f t="shared" si="66"/>
        <v>-2652.9819999999963</v>
      </c>
      <c r="CF57" s="68">
        <f t="shared" si="66"/>
        <v>-5646.818000000007</v>
      </c>
      <c r="CG57" s="68">
        <f t="shared" si="66"/>
        <v>-5632.755999999994</v>
      </c>
      <c r="CH57" s="68">
        <f t="shared" si="66"/>
        <v>-5330.152000000002</v>
      </c>
      <c r="CI57" s="68">
        <f t="shared" si="66"/>
        <v>-3409.2920000000013</v>
      </c>
      <c r="CJ57" s="68">
        <f t="shared" si="66"/>
        <v>-6402.099000000002</v>
      </c>
      <c r="CK57" s="68">
        <f t="shared" si="66"/>
        <v>-7214.5350000000035</v>
      </c>
      <c r="CL57" s="68">
        <f t="shared" si="66"/>
        <v>-8498.593</v>
      </c>
      <c r="CM57" s="68">
        <f t="shared" si="66"/>
        <v>-7622.429000000004</v>
      </c>
      <c r="CN57" s="68">
        <f t="shared" si="66"/>
        <v>-8870.961000000003</v>
      </c>
      <c r="CO57" s="68">
        <f t="shared" si="66"/>
        <v>-8171.885999999999</v>
      </c>
      <c r="CP57" s="68">
        <f t="shared" si="66"/>
        <v>-5867.739000000001</v>
      </c>
      <c r="CQ57" s="68">
        <f t="shared" si="66"/>
        <v>-9456.320999999996</v>
      </c>
      <c r="CR57" s="68">
        <f t="shared" si="66"/>
        <v>-9271.338000000003</v>
      </c>
      <c r="CS57" s="68">
        <f t="shared" si="66"/>
        <v>-8724.081000000006</v>
      </c>
      <c r="CT57" s="68">
        <f aca="true" t="shared" si="67" ref="CT57:DY57">CT81-CT50</f>
        <v>-7277.206000000006</v>
      </c>
      <c r="CU57" s="68">
        <f t="shared" si="67"/>
        <v>-10390.190999999992</v>
      </c>
      <c r="CV57" s="68">
        <f t="shared" si="67"/>
        <v>-12472.835000000006</v>
      </c>
      <c r="CW57" s="68">
        <f t="shared" si="67"/>
        <v>-10032.56700000001</v>
      </c>
      <c r="CX57" s="68">
        <f t="shared" si="67"/>
        <v>-8398.884999999995</v>
      </c>
      <c r="CY57" s="68">
        <f t="shared" si="67"/>
        <v>-8837.114000000001</v>
      </c>
      <c r="CZ57" s="68">
        <f t="shared" si="67"/>
        <v>-7187.197</v>
      </c>
      <c r="DA57" s="68">
        <f t="shared" si="67"/>
        <v>-12062.541999999987</v>
      </c>
      <c r="DB57" s="68">
        <f t="shared" si="67"/>
        <v>-11032.331000000006</v>
      </c>
      <c r="DC57" s="68">
        <f t="shared" si="67"/>
        <v>-10529.913</v>
      </c>
      <c r="DD57" s="85">
        <f t="shared" si="67"/>
        <v>-9115.082999999999</v>
      </c>
      <c r="DE57" s="85">
        <f t="shared" si="67"/>
        <v>-16810.356</v>
      </c>
      <c r="DF57" s="85">
        <f t="shared" si="67"/>
        <v>-11929.24900000001</v>
      </c>
      <c r="DG57" s="85">
        <f t="shared" si="67"/>
        <v>-14764.332999999999</v>
      </c>
      <c r="DH57" s="170">
        <f t="shared" si="67"/>
        <v>-13732.794999999998</v>
      </c>
      <c r="DI57" s="170">
        <f t="shared" si="67"/>
        <v>-16049.555000000008</v>
      </c>
      <c r="DJ57" s="170">
        <f t="shared" si="67"/>
        <v>-11394.089000000007</v>
      </c>
      <c r="DK57" s="170">
        <f t="shared" si="67"/>
        <v>-12053.887000000002</v>
      </c>
      <c r="DL57" s="170">
        <f t="shared" si="67"/>
        <v>-12308.968999999997</v>
      </c>
      <c r="DM57" s="271">
        <f t="shared" si="67"/>
        <v>-11072.130999999994</v>
      </c>
      <c r="DN57" s="271">
        <f t="shared" si="67"/>
        <v>-11719.556999999986</v>
      </c>
      <c r="DO57" s="271">
        <f t="shared" si="67"/>
        <v>-12409.581000000006</v>
      </c>
      <c r="DP57" s="271">
        <f t="shared" si="67"/>
        <v>-15488.505999999994</v>
      </c>
      <c r="DQ57" s="170">
        <f t="shared" si="67"/>
        <v>-15621</v>
      </c>
      <c r="DR57" s="170">
        <f t="shared" si="67"/>
        <v>-13202.664000000004</v>
      </c>
      <c r="DS57" s="170">
        <f t="shared" si="67"/>
        <v>-15182.584000000003</v>
      </c>
      <c r="DT57" s="170">
        <f t="shared" si="67"/>
        <v>-15852.909</v>
      </c>
      <c r="DU57" s="170">
        <f t="shared" si="67"/>
        <v>-16176.247999999992</v>
      </c>
      <c r="DV57" s="170">
        <f t="shared" si="67"/>
        <v>-15012.381999999998</v>
      </c>
      <c r="DW57" s="170">
        <f t="shared" si="67"/>
        <v>-15564.59599999999</v>
      </c>
      <c r="DX57" s="170">
        <f t="shared" si="67"/>
        <v>-25570.775999999998</v>
      </c>
      <c r="DY57" s="170">
        <f t="shared" si="67"/>
        <v>-25634.093000000008</v>
      </c>
      <c r="DZ57" s="170">
        <f aca="true" t="shared" si="68" ref="DZ57:FE57">DZ81-DZ50</f>
        <v>-18841.69099999999</v>
      </c>
      <c r="EA57" s="170">
        <f t="shared" si="68"/>
        <v>-19578.176000000007</v>
      </c>
      <c r="EB57" s="170">
        <f t="shared" si="68"/>
        <v>-16074.354000000007</v>
      </c>
      <c r="EC57" s="170">
        <f t="shared" si="68"/>
        <v>-15989.17700000001</v>
      </c>
      <c r="ED57" s="170">
        <f t="shared" si="68"/>
        <v>-16259.857000000004</v>
      </c>
      <c r="EE57" s="271">
        <f t="shared" si="68"/>
        <v>-9204.051999999996</v>
      </c>
      <c r="EF57" s="271">
        <f t="shared" si="68"/>
        <v>-14279.565000000002</v>
      </c>
      <c r="EG57" s="271">
        <f t="shared" si="68"/>
        <v>-14529.084000000003</v>
      </c>
      <c r="EH57" s="271">
        <f t="shared" si="68"/>
        <v>-13066.281000000003</v>
      </c>
      <c r="EI57" s="271">
        <f t="shared" si="68"/>
        <v>-12822.142999999996</v>
      </c>
      <c r="EJ57" s="271">
        <f t="shared" si="68"/>
        <v>-10609.340000000011</v>
      </c>
      <c r="EK57" s="271">
        <f t="shared" si="68"/>
        <v>-8115.229000000007</v>
      </c>
      <c r="EL57" s="271">
        <f t="shared" si="68"/>
        <v>-7654.810999999987</v>
      </c>
      <c r="EM57" s="271">
        <f t="shared" si="68"/>
        <v>-7800.067999999999</v>
      </c>
      <c r="EN57" s="271">
        <f t="shared" si="68"/>
        <v>-7194.438000000009</v>
      </c>
      <c r="EO57" s="271">
        <f t="shared" si="68"/>
        <v>-7543.9330000000045</v>
      </c>
      <c r="EP57" s="271">
        <f t="shared" si="68"/>
        <v>-4332.152000000002</v>
      </c>
      <c r="EQ57" s="271">
        <f t="shared" si="68"/>
        <v>-4922.452999999994</v>
      </c>
      <c r="ER57" s="271">
        <f t="shared" si="68"/>
        <v>-3665.4919999999984</v>
      </c>
      <c r="ES57" s="176">
        <f t="shared" si="68"/>
        <v>-1171.6920000000027</v>
      </c>
      <c r="ET57" s="176">
        <f t="shared" si="68"/>
        <v>67.35099999999511</v>
      </c>
      <c r="EU57" s="176">
        <f t="shared" si="68"/>
        <v>1208.1010000000024</v>
      </c>
      <c r="EV57" s="176">
        <f t="shared" si="68"/>
        <v>1925.3060000000041</v>
      </c>
      <c r="EW57" s="176">
        <f t="shared" si="68"/>
        <v>4201.623999999996</v>
      </c>
      <c r="EX57" s="176">
        <f t="shared" si="68"/>
        <v>5231.596999999994</v>
      </c>
      <c r="EY57" s="176">
        <f t="shared" si="68"/>
        <v>3693.9490000000005</v>
      </c>
      <c r="EZ57" s="271">
        <f t="shared" si="68"/>
        <v>5646.763999999996</v>
      </c>
      <c r="FA57" s="271">
        <f t="shared" si="68"/>
        <v>8619.429000000004</v>
      </c>
      <c r="FB57" s="271">
        <f t="shared" si="68"/>
        <v>9102.688000000002</v>
      </c>
      <c r="FC57" s="271">
        <f t="shared" si="68"/>
        <v>9972.596000000005</v>
      </c>
      <c r="FD57" s="319">
        <f t="shared" si="68"/>
        <v>9489.331000000006</v>
      </c>
      <c r="FE57" s="112">
        <f t="shared" si="68"/>
        <v>8072.1500000000015</v>
      </c>
      <c r="FF57" s="112">
        <f aca="true" t="shared" si="69" ref="FF57:GA57">FF81-FF50</f>
        <v>7239.280999999995</v>
      </c>
      <c r="FG57" s="112">
        <f t="shared" si="69"/>
        <v>4772.960999999996</v>
      </c>
      <c r="FH57" s="112">
        <f t="shared" si="69"/>
        <v>4751.078999999998</v>
      </c>
      <c r="FI57" s="112">
        <f t="shared" si="69"/>
        <v>4845.7590000000055</v>
      </c>
      <c r="FJ57" s="112">
        <f t="shared" si="69"/>
        <v>4531.552000000003</v>
      </c>
      <c r="FK57" s="112">
        <f t="shared" si="69"/>
        <v>2584.9000000000015</v>
      </c>
      <c r="FL57" s="112">
        <f t="shared" si="69"/>
        <v>2331.510000000002</v>
      </c>
      <c r="FM57" s="112">
        <f t="shared" si="69"/>
        <v>1248</v>
      </c>
      <c r="FN57" s="112">
        <f t="shared" si="69"/>
        <v>1170</v>
      </c>
      <c r="FO57" s="357">
        <f t="shared" si="69"/>
        <v>3180</v>
      </c>
      <c r="FP57" s="319">
        <f t="shared" si="69"/>
        <v>-365</v>
      </c>
      <c r="FQ57" s="112">
        <f t="shared" si="69"/>
        <v>-1432</v>
      </c>
      <c r="FR57" s="112">
        <f t="shared" si="69"/>
        <v>-3390</v>
      </c>
      <c r="FS57" s="112">
        <f t="shared" si="69"/>
        <v>-5647</v>
      </c>
      <c r="FT57" s="112">
        <f t="shared" si="69"/>
        <v>-5140</v>
      </c>
      <c r="FU57" s="112">
        <f t="shared" si="69"/>
        <v>-5941</v>
      </c>
      <c r="FV57" s="112">
        <f t="shared" si="69"/>
        <v>-7231</v>
      </c>
      <c r="FW57" s="112">
        <f t="shared" si="69"/>
        <v>-7778</v>
      </c>
      <c r="FX57" s="112">
        <f t="shared" si="69"/>
        <v>-7386</v>
      </c>
      <c r="FY57" s="112">
        <f t="shared" si="69"/>
        <v>-10170</v>
      </c>
      <c r="FZ57" s="112">
        <f t="shared" si="69"/>
        <v>-10486</v>
      </c>
      <c r="GA57" s="357">
        <f t="shared" si="69"/>
        <v>-13286</v>
      </c>
      <c r="GB57" s="319">
        <f>GB81-GB50</f>
        <v>-11999</v>
      </c>
      <c r="GC57" s="112">
        <f>GC81-GC50</f>
        <v>-14209</v>
      </c>
      <c r="GD57" s="357">
        <f>GD81-GD50</f>
        <v>-13838</v>
      </c>
      <c r="GE57" s="3"/>
      <c r="GF57" s="3"/>
      <c r="GG57" s="377"/>
      <c r="GH57" s="91"/>
      <c r="GI57" s="132"/>
    </row>
    <row r="58" spans="1:191" ht="15" customHeight="1">
      <c r="A58" s="6"/>
      <c r="B58" s="198" t="s">
        <v>43</v>
      </c>
      <c r="C58" s="61"/>
      <c r="D58" s="61"/>
      <c r="E58" s="61"/>
      <c r="F58" s="66"/>
      <c r="G58" s="66"/>
      <c r="H58" s="66"/>
      <c r="I58" s="66"/>
      <c r="J58" s="66"/>
      <c r="K58" s="66"/>
      <c r="L58" s="66"/>
      <c r="M58" s="66"/>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81"/>
      <c r="AS58" s="81"/>
      <c r="AT58" s="81"/>
      <c r="AU58" s="81"/>
      <c r="AV58" s="81"/>
      <c r="AW58" s="79"/>
      <c r="AX58" s="81"/>
      <c r="AY58" s="81"/>
      <c r="AZ58" s="81"/>
      <c r="BA58" s="81"/>
      <c r="BB58" s="79"/>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25"/>
      <c r="CB58" s="25"/>
      <c r="CC58" s="25"/>
      <c r="CD58" s="25"/>
      <c r="CE58" s="25"/>
      <c r="CF58" s="62"/>
      <c r="CG58" s="62"/>
      <c r="CH58" s="79"/>
      <c r="CI58" s="165"/>
      <c r="CJ58" s="165"/>
      <c r="CK58" s="165"/>
      <c r="CL58" s="165"/>
      <c r="CM58" s="165"/>
      <c r="CN58" s="165"/>
      <c r="CO58" s="165"/>
      <c r="CP58" s="165"/>
      <c r="CQ58" s="165"/>
      <c r="CR58" s="165"/>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79"/>
      <c r="EA58" s="79"/>
      <c r="EB58" s="79"/>
      <c r="EC58" s="79"/>
      <c r="ED58" s="79"/>
      <c r="EE58" s="79"/>
      <c r="EF58" s="81"/>
      <c r="EG58" s="79"/>
      <c r="EH58" s="79"/>
      <c r="EI58" s="79"/>
      <c r="EJ58" s="79"/>
      <c r="EK58" s="79"/>
      <c r="EL58" s="79"/>
      <c r="EM58" s="79"/>
      <c r="EN58" s="79"/>
      <c r="EO58" s="79"/>
      <c r="EP58" s="79"/>
      <c r="EQ58" s="79"/>
      <c r="ER58" s="79"/>
      <c r="ES58" s="79"/>
      <c r="ET58" s="79"/>
      <c r="EU58" s="79"/>
      <c r="EV58" s="79"/>
      <c r="EW58" s="79"/>
      <c r="EX58" s="79"/>
      <c r="EY58" s="281"/>
      <c r="EZ58" s="281"/>
      <c r="FA58" s="281"/>
      <c r="FB58" s="281"/>
      <c r="FC58" s="281"/>
      <c r="FD58" s="322"/>
      <c r="FE58" s="323"/>
      <c r="FF58" s="323"/>
      <c r="FG58" s="323"/>
      <c r="FH58" s="323"/>
      <c r="FI58" s="323"/>
      <c r="FJ58" s="323"/>
      <c r="FK58" s="323"/>
      <c r="FL58" s="323"/>
      <c r="FM58" s="323"/>
      <c r="FN58" s="323"/>
      <c r="FO58" s="323"/>
      <c r="FP58" s="322"/>
      <c r="FQ58" s="323"/>
      <c r="FR58" s="323"/>
      <c r="FS58" s="323"/>
      <c r="FT58" s="323"/>
      <c r="FU58" s="323"/>
      <c r="FV58" s="323"/>
      <c r="FW58" s="323"/>
      <c r="FX58" s="323"/>
      <c r="FY58" s="387"/>
      <c r="FZ58" s="387"/>
      <c r="GA58" s="401"/>
      <c r="GB58" s="421"/>
      <c r="GC58" s="387"/>
      <c r="GD58" s="401"/>
      <c r="GE58" s="3"/>
      <c r="GF58" s="3"/>
      <c r="GG58" s="3"/>
      <c r="GH58" s="3"/>
      <c r="GI58" s="132"/>
    </row>
    <row r="59" spans="1:191" ht="15" customHeight="1">
      <c r="A59" s="6"/>
      <c r="B59" s="117" t="s">
        <v>121</v>
      </c>
      <c r="C59" s="80">
        <f>C61+C62+C64-C65-C66</f>
        <v>3975</v>
      </c>
      <c r="D59" s="80">
        <f>D61+D62+D64-D65-D66</f>
        <v>3794</v>
      </c>
      <c r="E59" s="80">
        <f aca="true" t="shared" si="70" ref="E59:K59">E61+E62+E64-E65-E66</f>
        <v>4320</v>
      </c>
      <c r="F59" s="80">
        <f t="shared" si="70"/>
        <v>3346.7999999999993</v>
      </c>
      <c r="G59" s="80">
        <f t="shared" si="70"/>
        <v>4339</v>
      </c>
      <c r="H59" s="80">
        <f t="shared" si="70"/>
        <v>4604</v>
      </c>
      <c r="I59" s="67">
        <f t="shared" si="70"/>
        <v>3059</v>
      </c>
      <c r="J59" s="67">
        <f t="shared" si="70"/>
        <v>3095</v>
      </c>
      <c r="K59" s="67">
        <f t="shared" si="70"/>
        <v>3666</v>
      </c>
      <c r="L59" s="67">
        <f>L61+L62+L64-L65-L66</f>
        <v>2902</v>
      </c>
      <c r="M59" s="67">
        <f>M61+M62+M64-M65-M66</f>
        <v>3438</v>
      </c>
      <c r="N59" s="80">
        <f>N61+N62+N64-N65-N66</f>
        <v>2495</v>
      </c>
      <c r="O59" s="80">
        <f aca="true" t="shared" si="71" ref="O59:AC59">O61+O62+O64-O65-O66</f>
        <v>4273</v>
      </c>
      <c r="P59" s="80">
        <f t="shared" si="71"/>
        <v>2870.1140000000005</v>
      </c>
      <c r="Q59" s="80">
        <f t="shared" si="71"/>
        <v>3112.8859999999995</v>
      </c>
      <c r="R59" s="80">
        <f t="shared" si="71"/>
        <v>3567.2879999999996</v>
      </c>
      <c r="S59" s="80">
        <f t="shared" si="71"/>
        <v>4536.506</v>
      </c>
      <c r="T59" s="80">
        <f t="shared" si="71"/>
        <v>3781.3140000000003</v>
      </c>
      <c r="U59" s="80">
        <f t="shared" si="71"/>
        <v>3191.1319999999996</v>
      </c>
      <c r="V59" s="80">
        <f t="shared" si="71"/>
        <v>2731.875</v>
      </c>
      <c r="W59" s="80">
        <f t="shared" si="71"/>
        <v>3088.5380000000005</v>
      </c>
      <c r="X59" s="80">
        <f t="shared" si="71"/>
        <v>3240.0220000000004</v>
      </c>
      <c r="Y59" s="80">
        <f t="shared" si="71"/>
        <v>2003.8740000000003</v>
      </c>
      <c r="Z59" s="80">
        <f t="shared" si="71"/>
        <v>1373.8609999999999</v>
      </c>
      <c r="AA59" s="80">
        <f t="shared" si="71"/>
        <v>1372.443</v>
      </c>
      <c r="AB59" s="80">
        <f t="shared" si="71"/>
        <v>1502.914</v>
      </c>
      <c r="AC59" s="80">
        <f t="shared" si="71"/>
        <v>2596.563</v>
      </c>
      <c r="AD59" s="80">
        <f>AD61+AD62+AD64-AD65-AD66</f>
        <v>1513.149</v>
      </c>
      <c r="AE59" s="80">
        <f>AE60-AE65-AE66</f>
        <v>2475.2914931506853</v>
      </c>
      <c r="AF59" s="80">
        <f aca="true" t="shared" si="72" ref="AF59:CQ59">AF60-AF65-AF66</f>
        <v>3273.9895205479456</v>
      </c>
      <c r="AG59" s="80">
        <f t="shared" si="72"/>
        <v>3713.995643835617</v>
      </c>
      <c r="AH59" s="80">
        <f t="shared" si="72"/>
        <v>4581.539671232877</v>
      </c>
      <c r="AI59" s="80">
        <f t="shared" si="72"/>
        <v>2817.6316986301367</v>
      </c>
      <c r="AJ59" s="80">
        <f t="shared" si="72"/>
        <v>2658.9978219178083</v>
      </c>
      <c r="AK59" s="80">
        <f t="shared" si="72"/>
        <v>2226.554849315068</v>
      </c>
      <c r="AL59" s="80">
        <f t="shared" si="72"/>
        <v>3398.5559726027404</v>
      </c>
      <c r="AM59" s="80">
        <f t="shared" si="72"/>
        <v>877.3249999999997</v>
      </c>
      <c r="AN59" s="80">
        <f t="shared" si="72"/>
        <v>2708.9560273972597</v>
      </c>
      <c r="AO59" s="80">
        <f t="shared" si="72"/>
        <v>3316.6343424657534</v>
      </c>
      <c r="AP59" s="80">
        <f t="shared" si="72"/>
        <v>3710.6611917808223</v>
      </c>
      <c r="AQ59" s="80">
        <f t="shared" si="72"/>
        <v>2271.799589041096</v>
      </c>
      <c r="AR59" s="67">
        <f t="shared" si="72"/>
        <v>2914.4932328767127</v>
      </c>
      <c r="AS59" s="67">
        <f t="shared" si="72"/>
        <v>2733.2016164383563</v>
      </c>
      <c r="AT59" s="67">
        <f t="shared" si="72"/>
        <v>1797.2408767123288</v>
      </c>
      <c r="AU59" s="67">
        <f t="shared" si="72"/>
        <v>1989.7981369863014</v>
      </c>
      <c r="AV59" s="67">
        <f t="shared" si="72"/>
        <v>2718.789698630137</v>
      </c>
      <c r="AW59" s="68">
        <f t="shared" si="72"/>
        <v>1960.145821917809</v>
      </c>
      <c r="AX59" s="68">
        <f t="shared" si="72"/>
        <v>607.2018767123286</v>
      </c>
      <c r="AY59" s="68">
        <f t="shared" si="72"/>
        <v>-1927.558</v>
      </c>
      <c r="AZ59" s="68">
        <f t="shared" si="72"/>
        <v>-2142.8562602739726</v>
      </c>
      <c r="BA59" s="68">
        <f t="shared" si="72"/>
        <v>-2661.5783424657534</v>
      </c>
      <c r="BB59" s="68">
        <f t="shared" si="72"/>
        <v>-2831.4864383561635</v>
      </c>
      <c r="BC59" s="68">
        <f t="shared" si="72"/>
        <v>-3398.187835616438</v>
      </c>
      <c r="BD59" s="68">
        <f t="shared" si="72"/>
        <v>-6657.0134794520545</v>
      </c>
      <c r="BE59" s="68">
        <f t="shared" si="72"/>
        <v>-1823.1055479452057</v>
      </c>
      <c r="BF59" s="68">
        <f t="shared" si="72"/>
        <v>-2946.1115753424665</v>
      </c>
      <c r="BG59" s="68">
        <f t="shared" si="72"/>
        <v>-1501.0536027397256</v>
      </c>
      <c r="BH59" s="68">
        <f t="shared" si="72"/>
        <v>-6143.468890410959</v>
      </c>
      <c r="BI59" s="68">
        <f t="shared" si="72"/>
        <v>-4303.191301369863</v>
      </c>
      <c r="BJ59" s="68">
        <f t="shared" si="72"/>
        <v>-7455.326150684931</v>
      </c>
      <c r="BK59" s="68">
        <f>BK60-BK65-BK66</f>
        <v>-8736.273082191781</v>
      </c>
      <c r="BL59" s="68">
        <f t="shared" si="72"/>
        <v>-5448.221630136987</v>
      </c>
      <c r="BM59" s="68">
        <f t="shared" si="72"/>
        <v>-2734.8919315068492</v>
      </c>
      <c r="BN59" s="68">
        <f t="shared" si="72"/>
        <v>-478.91047945205423</v>
      </c>
      <c r="BO59" s="68">
        <f t="shared" si="72"/>
        <v>173.24405479452093</v>
      </c>
      <c r="BP59" s="68">
        <f t="shared" si="72"/>
        <v>2381.1535068493154</v>
      </c>
      <c r="BQ59" s="68">
        <f t="shared" si="72"/>
        <v>2842.6540410958905</v>
      </c>
      <c r="BR59" s="68">
        <f t="shared" si="72"/>
        <v>506.162493150685</v>
      </c>
      <c r="BS59" s="68">
        <f t="shared" si="72"/>
        <v>-126.14505479452032</v>
      </c>
      <c r="BT59" s="68">
        <f t="shared" si="72"/>
        <v>3505.4274794520547</v>
      </c>
      <c r="BU59" s="68">
        <f t="shared" si="72"/>
        <v>3770.383931506849</v>
      </c>
      <c r="BV59" s="68">
        <f t="shared" si="72"/>
        <v>3125.8804657534242</v>
      </c>
      <c r="BW59" s="68">
        <f t="shared" si="72"/>
        <v>3533.227917808219</v>
      </c>
      <c r="BX59" s="68">
        <f t="shared" si="72"/>
        <v>969.3413698630136</v>
      </c>
      <c r="BY59" s="68">
        <f t="shared" si="72"/>
        <v>2412.1280684931517</v>
      </c>
      <c r="BZ59" s="68">
        <f t="shared" si="72"/>
        <v>836.1445205479455</v>
      </c>
      <c r="CA59" s="68">
        <f t="shared" si="72"/>
        <v>-187.43194520547922</v>
      </c>
      <c r="CB59" s="68">
        <f t="shared" si="72"/>
        <v>2261.0905068493157</v>
      </c>
      <c r="CC59" s="68">
        <f t="shared" si="72"/>
        <v>1232.9960410958906</v>
      </c>
      <c r="CD59" s="68">
        <f t="shared" si="72"/>
        <v>3042.8454931506853</v>
      </c>
      <c r="CE59" s="68">
        <f t="shared" si="72"/>
        <v>3091.7699452054794</v>
      </c>
      <c r="CF59" s="68">
        <f t="shared" si="72"/>
        <v>2889.135479452055</v>
      </c>
      <c r="CG59" s="68">
        <f t="shared" si="72"/>
        <v>2442.427931506849</v>
      </c>
      <c r="CH59" s="68">
        <f t="shared" si="72"/>
        <v>545.1104657534247</v>
      </c>
      <c r="CI59" s="68">
        <f>CI60-CI65-CI66</f>
        <v>3021.509917808219</v>
      </c>
      <c r="CJ59" s="68">
        <f t="shared" si="72"/>
        <v>1426.4953698630136</v>
      </c>
      <c r="CK59" s="68">
        <f t="shared" si="72"/>
        <v>1740.7410684931501</v>
      </c>
      <c r="CL59" s="68">
        <f t="shared" si="72"/>
        <v>1554.682945205479</v>
      </c>
      <c r="CM59" s="68">
        <f t="shared" si="72"/>
        <v>3252.877520547945</v>
      </c>
      <c r="CN59" s="68">
        <f t="shared" si="72"/>
        <v>1430.839315068493</v>
      </c>
      <c r="CO59" s="68">
        <f t="shared" si="72"/>
        <v>1542.3367397260276</v>
      </c>
      <c r="CP59" s="68">
        <f t="shared" si="72"/>
        <v>3982.7678767123284</v>
      </c>
      <c r="CQ59" s="68">
        <f t="shared" si="72"/>
        <v>1342.6550136986307</v>
      </c>
      <c r="CR59" s="68">
        <f aca="true" t="shared" si="73" ref="CR59:CX59">CR60-CR65-CR66</f>
        <v>-237.4893698630142</v>
      </c>
      <c r="CS59" s="68">
        <f t="shared" si="73"/>
        <v>1989.5636849315067</v>
      </c>
      <c r="CT59" s="68">
        <f t="shared" si="73"/>
        <v>2384.358342465753</v>
      </c>
      <c r="CU59" s="68">
        <f t="shared" si="73"/>
        <v>-1324.3928767123289</v>
      </c>
      <c r="CV59" s="68">
        <f t="shared" si="73"/>
        <v>-3397.7670547945218</v>
      </c>
      <c r="CW59" s="68">
        <f t="shared" si="73"/>
        <v>182.70052054794587</v>
      </c>
      <c r="CX59" s="68">
        <f t="shared" si="73"/>
        <v>1868.5373424657532</v>
      </c>
      <c r="CY59" s="68">
        <f aca="true" t="shared" si="74" ref="CY59:DH59">CY60-CY65-CY66</f>
        <v>1859.9868082191776</v>
      </c>
      <c r="CZ59" s="68">
        <f t="shared" si="74"/>
        <v>2008.8169726027404</v>
      </c>
      <c r="DA59" s="68">
        <f t="shared" si="74"/>
        <v>-2571.0501369863023</v>
      </c>
      <c r="DB59" s="68">
        <f>DB60-DB65-DB66</f>
        <v>-1973.889630136986</v>
      </c>
      <c r="DC59" s="68">
        <f t="shared" si="74"/>
        <v>698.4068767123288</v>
      </c>
      <c r="DD59" s="85">
        <f t="shared" si="74"/>
        <v>1325.5575342465759</v>
      </c>
      <c r="DE59" s="85">
        <f t="shared" si="74"/>
        <v>-6137.056616438355</v>
      </c>
      <c r="DF59" s="85">
        <f t="shared" si="74"/>
        <v>-381.3387945205478</v>
      </c>
      <c r="DG59" s="85">
        <f t="shared" si="74"/>
        <v>-2515.635342465753</v>
      </c>
      <c r="DH59" s="85">
        <f t="shared" si="74"/>
        <v>282.3758493150691</v>
      </c>
      <c r="DI59" s="85">
        <f aca="true" t="shared" si="75" ref="DI59:DN59">DI60-DI65-DI66</f>
        <v>-2327.9509452054795</v>
      </c>
      <c r="DJ59" s="85">
        <f t="shared" si="75"/>
        <v>1884.3799726027394</v>
      </c>
      <c r="DK59" s="85">
        <f t="shared" si="75"/>
        <v>1860.6428767123289</v>
      </c>
      <c r="DL59" s="85">
        <f t="shared" si="75"/>
        <v>2204.652410958904</v>
      </c>
      <c r="DM59" s="85">
        <f t="shared" si="75"/>
        <v>2682.072465753425</v>
      </c>
      <c r="DN59" s="85">
        <f t="shared" si="75"/>
        <v>2884.8603424657535</v>
      </c>
      <c r="DO59" s="85">
        <f aca="true" t="shared" si="76" ref="DO59:DW59">DO60-DO65-DO66</f>
        <v>2282.119219178082</v>
      </c>
      <c r="DP59" s="85">
        <f t="shared" si="76"/>
        <v>-48.24495890410958</v>
      </c>
      <c r="DQ59" s="85">
        <f t="shared" si="76"/>
        <v>48.68826027397296</v>
      </c>
      <c r="DR59" s="85">
        <f t="shared" si="76"/>
        <v>2581.4762465753424</v>
      </c>
      <c r="DS59" s="85">
        <f t="shared" si="76"/>
        <v>1855.207068493151</v>
      </c>
      <c r="DT59" s="86">
        <f>DT60-DT65-DT66</f>
        <v>2395.8076301369865</v>
      </c>
      <c r="DU59" s="84">
        <f t="shared" si="76"/>
        <v>1450.5565890410955</v>
      </c>
      <c r="DV59" s="84">
        <f t="shared" si="76"/>
        <v>1621.512876712329</v>
      </c>
      <c r="DW59" s="84">
        <f t="shared" si="76"/>
        <v>1166.3189452054794</v>
      </c>
      <c r="DX59" s="84">
        <f>DX60-DX65-DX66</f>
        <v>-11348.867150684931</v>
      </c>
      <c r="DY59" s="84">
        <f>DY60-DY65-DY66</f>
        <v>-8848.01993150685</v>
      </c>
      <c r="DZ59" s="84">
        <f>DZ60-DZ65-DZ66</f>
        <v>-5476.586684931507</v>
      </c>
      <c r="EA59" s="84">
        <f>+EA60-EA65-EA66</f>
        <v>-7434.101438356164</v>
      </c>
      <c r="EB59" s="84">
        <f>+EB60-EB65-EB66</f>
        <v>-4651.181452054794</v>
      </c>
      <c r="EC59" s="84">
        <f>+EC60-EC65-EC66</f>
        <v>-5038.2168630136985</v>
      </c>
      <c r="ED59" s="84">
        <f>+ED60-ED65-ED66</f>
        <v>-5363.464712328768</v>
      </c>
      <c r="EE59" s="68">
        <f>+EE60-EE65-EE66</f>
        <v>1588.1628767123289</v>
      </c>
      <c r="EF59" s="68">
        <f>+EF60+EF62-EF65-EF66</f>
        <v>-4815.4235342465745</v>
      </c>
      <c r="EG59" s="68">
        <f>+EG60+EG62-EG65-EG66</f>
        <v>-4337.028260273972</v>
      </c>
      <c r="EH59" s="271">
        <f aca="true" t="shared" si="77" ref="EH59:EQ59">+EH60+EH62-EH65-EH66</f>
        <v>-2863.2656712328762</v>
      </c>
      <c r="EI59" s="271">
        <f t="shared" si="77"/>
        <v>-1762.5887534246567</v>
      </c>
      <c r="EJ59" s="271">
        <f t="shared" si="77"/>
        <v>-1388.4218219178083</v>
      </c>
      <c r="EK59" s="271">
        <f t="shared" si="77"/>
        <v>801.3403698630136</v>
      </c>
      <c r="EL59" s="271">
        <f t="shared" si="77"/>
        <v>807.7903013698624</v>
      </c>
      <c r="EM59" s="271">
        <f t="shared" si="77"/>
        <v>-178.52476712328826</v>
      </c>
      <c r="EN59" s="271">
        <f t="shared" si="77"/>
        <v>1057.9084246575349</v>
      </c>
      <c r="EO59" s="271">
        <f t="shared" si="77"/>
        <v>-51.645643835615374</v>
      </c>
      <c r="EP59" s="271">
        <f t="shared" si="77"/>
        <v>3635.8135479452058</v>
      </c>
      <c r="EQ59" s="271">
        <f t="shared" si="77"/>
        <v>4005.457479452054</v>
      </c>
      <c r="ER59" s="271">
        <f aca="true" t="shared" si="78" ref="ER59:EW59">+ER60+ER62-ER65-ER66</f>
        <v>4982.897410958904</v>
      </c>
      <c r="ES59" s="78">
        <f t="shared" si="78"/>
        <v>7393.676863013699</v>
      </c>
      <c r="ET59" s="78">
        <f t="shared" si="78"/>
        <v>9524.042794520548</v>
      </c>
      <c r="EU59" s="78">
        <f t="shared" si="78"/>
        <v>10657.18598630137</v>
      </c>
      <c r="EV59" s="78">
        <f t="shared" si="78"/>
        <v>11213.745917808217</v>
      </c>
      <c r="EW59" s="78">
        <f t="shared" si="78"/>
        <v>12910.756109589041</v>
      </c>
      <c r="EX59" s="78">
        <f>+EX60+EX62-EX65-EX66</f>
        <v>12415.231041095893</v>
      </c>
      <c r="EY59" s="78">
        <f>+EY60+EY62-EY65-EY66</f>
        <v>12701.205972602736</v>
      </c>
      <c r="EZ59" s="78">
        <f>+EZ60+EZ62+EZ63-EZ65-EZ66</f>
        <v>14818.936164383562</v>
      </c>
      <c r="FA59" s="78">
        <f>+FA60+FA62+FA63-FA65-FA66</f>
        <v>16229.84409589041</v>
      </c>
      <c r="FB59" s="78">
        <f aca="true" t="shared" si="79" ref="FB59:FI59">+FB60+FB62+FB63-FB65-FB66</f>
        <v>16762.589287671235</v>
      </c>
      <c r="FC59" s="78">
        <f t="shared" si="79"/>
        <v>16875.768219178084</v>
      </c>
      <c r="FD59" s="312">
        <f t="shared" si="79"/>
        <v>16727.77315068493</v>
      </c>
      <c r="FE59" s="90">
        <f t="shared" si="79"/>
        <v>15262.8098630137</v>
      </c>
      <c r="FF59" s="90">
        <f t="shared" si="79"/>
        <v>14559.81479452055</v>
      </c>
      <c r="FG59" s="90">
        <f t="shared" si="79"/>
        <v>12575.496986301368</v>
      </c>
      <c r="FH59" s="90">
        <f t="shared" si="79"/>
        <v>13392.501917808218</v>
      </c>
      <c r="FI59" s="90">
        <f t="shared" si="79"/>
        <v>13165.143013698631</v>
      </c>
      <c r="FJ59" s="90">
        <f aca="true" t="shared" si="80" ref="FJ59:FP59">+FJ60+FJ62+FJ63-FJ65-FJ66</f>
        <v>13977.298630136986</v>
      </c>
      <c r="FK59" s="90">
        <f t="shared" si="80"/>
        <v>12545.454246575344</v>
      </c>
      <c r="FL59" s="90">
        <f t="shared" si="80"/>
        <v>12647.314520547945</v>
      </c>
      <c r="FM59" s="90">
        <f t="shared" si="80"/>
        <v>11791.470136986303</v>
      </c>
      <c r="FN59" s="90">
        <f t="shared" si="80"/>
        <v>11227.330410958904</v>
      </c>
      <c r="FO59" s="90">
        <f t="shared" si="80"/>
        <v>13527.486027397259</v>
      </c>
      <c r="FP59" s="312">
        <f t="shared" si="80"/>
        <v>11373.641643835617</v>
      </c>
      <c r="FQ59" s="90">
        <f aca="true" t="shared" si="81" ref="FQ59:FV59">+FQ60+FQ62+FQ63-FQ65-FQ66</f>
        <v>9533.911232876711</v>
      </c>
      <c r="FR59" s="90">
        <f t="shared" si="81"/>
        <v>7336.06684931507</v>
      </c>
      <c r="FS59" s="90">
        <f t="shared" si="81"/>
        <v>5837.927123287671</v>
      </c>
      <c r="FT59" s="90">
        <f t="shared" si="81"/>
        <v>5234.863561643837</v>
      </c>
      <c r="FU59" s="90">
        <f t="shared" si="81"/>
        <v>4039.90191780822</v>
      </c>
      <c r="FV59" s="90">
        <f t="shared" si="81"/>
        <v>3637.208219178083</v>
      </c>
      <c r="FW59" s="90">
        <f aca="true" t="shared" si="82" ref="FW59:GB59">+FW60+FW62+FW63-FW65-FW66</f>
        <v>2903.5145205479457</v>
      </c>
      <c r="FX59" s="90">
        <f t="shared" si="82"/>
        <v>3999.5528767123287</v>
      </c>
      <c r="FY59" s="90">
        <f t="shared" si="82"/>
        <v>1259.8591780821916</v>
      </c>
      <c r="FZ59" s="90">
        <f t="shared" si="82"/>
        <v>-106.10246575342535</v>
      </c>
      <c r="GA59" s="157">
        <f t="shared" si="82"/>
        <v>-1161.7961643835624</v>
      </c>
      <c r="GB59" s="312">
        <f t="shared" si="82"/>
        <v>-89.4898630136995</v>
      </c>
      <c r="GC59" s="90">
        <f aca="true" t="shared" si="83" ref="GC59:GI59">+GC60+GC62+GC63-GC65-GC66</f>
        <v>-1193.9873972602727</v>
      </c>
      <c r="GD59" s="157">
        <f t="shared" si="83"/>
        <v>-1041.6810958904098</v>
      </c>
      <c r="GE59" s="90">
        <f t="shared" si="83"/>
        <v>785.5150684931505</v>
      </c>
      <c r="GF59" s="90">
        <f t="shared" si="83"/>
        <v>1185.3906849315063</v>
      </c>
      <c r="GG59" s="90">
        <f t="shared" si="83"/>
        <v>-742.733698630138</v>
      </c>
      <c r="GH59" s="90">
        <f t="shared" si="83"/>
        <v>825.1419178082178</v>
      </c>
      <c r="GI59" s="157">
        <f t="shared" si="83"/>
        <v>3481.0175342465736</v>
      </c>
    </row>
    <row r="60" spans="1:191" ht="15" customHeight="1">
      <c r="A60" s="6"/>
      <c r="B60" s="248" t="s">
        <v>74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f>5394+(5394*0.05*(120/365))</f>
        <v>5482.668493150685</v>
      </c>
      <c r="AF60" s="67">
        <f>5394+(5394*0.05*(151/365))</f>
        <v>5505.574520547945</v>
      </c>
      <c r="AG60" s="67">
        <f>5394+(5394*0.05*(181/365))</f>
        <v>5527.741643835617</v>
      </c>
      <c r="AH60" s="67">
        <f>5394+(5394*0.05*(212/365))</f>
        <v>5550.647671232877</v>
      </c>
      <c r="AI60" s="67">
        <f>5394+(5394*0.05*(243/365))</f>
        <v>5573.553698630137</v>
      </c>
      <c r="AJ60" s="67">
        <f>5394+(5394*0.05*(273/365))</f>
        <v>5595.720821917808</v>
      </c>
      <c r="AK60" s="67">
        <f>5394+(5394*0.05*(304/365))</f>
        <v>5618.626849315068</v>
      </c>
      <c r="AL60" s="67">
        <f>5394+(5394*0.05*(334/365))</f>
        <v>5640.79397260274</v>
      </c>
      <c r="AM60" s="67">
        <f>5394+(5394*0.05*(365/365))</f>
        <v>5663.7</v>
      </c>
      <c r="AN60" s="67">
        <f>5394+(5394*0.05*(396/365))</f>
        <v>5686.60602739726</v>
      </c>
      <c r="AO60" s="67">
        <f>5394+(5394*0.05*(424/365))</f>
        <v>5707.2953424657535</v>
      </c>
      <c r="AP60" s="67">
        <f>5214+(5214*0.05*(455/365))</f>
        <v>5538.982191780822</v>
      </c>
      <c r="AQ60" s="67">
        <f>5214+(5214*0.05*(485/365))</f>
        <v>5560.409589041096</v>
      </c>
      <c r="AR60" s="73">
        <f>5214+(5214*0.05*(516/365))</f>
        <v>5582.551232876713</v>
      </c>
      <c r="AS60" s="73">
        <f>5034+(5034*0.05*(546/365))</f>
        <v>5410.515616438356</v>
      </c>
      <c r="AT60" s="73">
        <f>5034+(5034*0.05*(577/365))</f>
        <v>5431.892876712329</v>
      </c>
      <c r="AU60" s="73">
        <f>5034+(5034*0.05*(608/365))</f>
        <v>5453.270136986302</v>
      </c>
      <c r="AV60" s="83">
        <f>4855+(4855*0.05*(638/365))</f>
        <v>5279.313698630137</v>
      </c>
      <c r="AW60" s="83">
        <f>4855+(4855*0.05*(669/365))</f>
        <v>5299.930821917808</v>
      </c>
      <c r="AX60" s="83">
        <f>4855+(4855*0.05*(699/365))</f>
        <v>5319.882876712329</v>
      </c>
      <c r="AY60" s="83">
        <f>4675+(4675*0.05*(730/365))</f>
        <v>5142.5</v>
      </c>
      <c r="AZ60" s="83">
        <f>4675+(4675*0.05*(761/365))</f>
        <v>5162.352739726028</v>
      </c>
      <c r="BA60" s="83">
        <f>4675+(4675*0.05*(790/365))</f>
        <v>5180.924657534247</v>
      </c>
      <c r="BB60" s="83">
        <f>4495+(4495*0.05*(821/365))</f>
        <v>5000.533561643836</v>
      </c>
      <c r="BC60" s="83">
        <f>4495+(4495*0.05*(851/365))</f>
        <v>5019.006164383562</v>
      </c>
      <c r="BD60" s="83">
        <f>4495+(4495*0.05*(882/365))</f>
        <v>5038.094520547946</v>
      </c>
      <c r="BE60" s="83">
        <f>4315+(4315*0.05*(912/365))</f>
        <v>4854.079452054794</v>
      </c>
      <c r="BF60" s="83">
        <f>4315+(4315*0.05*(943/365))</f>
        <v>4872.403424657534</v>
      </c>
      <c r="BG60" s="83">
        <f>4315+(4315*0.05*(974/365))</f>
        <v>4890.727397260274</v>
      </c>
      <c r="BH60" s="83">
        <f>4135+(4135*0.05*(1004/365))</f>
        <v>4703.704109589041</v>
      </c>
      <c r="BI60" s="83">
        <f>4135+(4135*0.05*(1035/365))</f>
        <v>4721.263698630137</v>
      </c>
      <c r="BJ60" s="83">
        <f>4135+(4135*0.05*(1065/365))</f>
        <v>4738.256849315068</v>
      </c>
      <c r="BK60" s="83">
        <f>3956+(3956*0.05*(1096/365))</f>
        <v>4549.941917808219</v>
      </c>
      <c r="BL60" s="83">
        <f>3956+(3956*0.05*(1127/365))</f>
        <v>4566.7413698630135</v>
      </c>
      <c r="BM60" s="83">
        <f>3956+(3956*0.05*(1155/365))</f>
        <v>4581.915068493151</v>
      </c>
      <c r="BN60" s="83">
        <f>3956+(3956*0.05*(1186/365))</f>
        <v>4598.7145205479455</v>
      </c>
      <c r="BO60" s="83">
        <f>3956+(3956*0.05*(1216/365))</f>
        <v>4614.972054794521</v>
      </c>
      <c r="BP60" s="83">
        <f>3956+(3956*0.05*(1247/365))</f>
        <v>4631.771506849315</v>
      </c>
      <c r="BQ60" s="83">
        <f>3956+(3956*0.05*(1277/365))</f>
        <v>4648.0290410958905</v>
      </c>
      <c r="BR60" s="83">
        <f>3956+(3956*0.05*(1308/365))</f>
        <v>4664.828493150685</v>
      </c>
      <c r="BS60" s="83">
        <f>3956+(3956*0.05*(1339/365))</f>
        <v>4681.62794520548</v>
      </c>
      <c r="BT60" s="83">
        <f>3956+(3956*0.05*(1369/365))</f>
        <v>4697.885479452055</v>
      </c>
      <c r="BU60" s="83">
        <f>3956+(3956*0.05*(1400/365))</f>
        <v>4714.684931506849</v>
      </c>
      <c r="BV60" s="83">
        <f>3956+(3956*0.05*(1430/365))</f>
        <v>4730.942465753425</v>
      </c>
      <c r="BW60" s="83">
        <f>3956+(3956*0.05*(1461/365))</f>
        <v>4747.741917808219</v>
      </c>
      <c r="BX60" s="83">
        <f>3956+(3956*0.05*(1492/365))</f>
        <v>4764.541369863014</v>
      </c>
      <c r="BY60" s="83">
        <f>3956+(3956*0.05*(1520/365))</f>
        <v>4779.715068493151</v>
      </c>
      <c r="BZ60" s="83">
        <f>3956+(3956*0.05*(1551/365))</f>
        <v>4796.514520547946</v>
      </c>
      <c r="CA60" s="68">
        <f>3956+(3956*0.05*(1581/365))</f>
        <v>4812.772054794521</v>
      </c>
      <c r="CB60" s="68">
        <f>3956+(3956*0.05*(1612/365))</f>
        <v>4829.5715068493155</v>
      </c>
      <c r="CC60" s="68">
        <f>3956+(3956*0.05*(1642/365))</f>
        <v>4845.829041095891</v>
      </c>
      <c r="CD60" s="68">
        <f>3956+(3956*0.05*(1673/365))</f>
        <v>4862.628493150685</v>
      </c>
      <c r="CE60" s="68">
        <f>3956+(3956*0.05*(1704/365))</f>
        <v>4879.42794520548</v>
      </c>
      <c r="CF60" s="68">
        <f>3956+(3956*0.05*(1734/365))</f>
        <v>4895.685479452055</v>
      </c>
      <c r="CG60" s="68">
        <f>3956+(3956*0.05*(1765/365))</f>
        <v>4912.4849315068495</v>
      </c>
      <c r="CH60" s="68">
        <f>3956+(3956*0.05*(1795/365))</f>
        <v>4928.742465753425</v>
      </c>
      <c r="CI60" s="68">
        <f>3956+(3956*0.05*(1826/365))</f>
        <v>4945.541917808219</v>
      </c>
      <c r="CJ60" s="68">
        <f>3956+(3956*0.05*(1857/365))</f>
        <v>4962.341369863014</v>
      </c>
      <c r="CK60" s="68">
        <f>3956+(3956*0.05*(1885/365))</f>
        <v>4977.5150684931505</v>
      </c>
      <c r="CL60" s="68">
        <f>3856+(3856*0.05*(1916/365))</f>
        <v>4868.067945205479</v>
      </c>
      <c r="CM60" s="68">
        <f>3856+(3856*0.05*(1946/365))</f>
        <v>4883.914520547945</v>
      </c>
      <c r="CN60" s="68">
        <f>3856+(3856*0.05*(1977/365))</f>
        <v>4900.289315068493</v>
      </c>
      <c r="CO60" s="68">
        <f>3756+(3756*0.05*(2007/365))</f>
        <v>4788.642739726028</v>
      </c>
      <c r="CP60" s="68">
        <f>3756+(3756*0.05*(2038/365))</f>
        <v>4804.592876712329</v>
      </c>
      <c r="CQ60" s="68">
        <f>3756+(3756*0.05*(2069/365))</f>
        <v>4820.543013698631</v>
      </c>
      <c r="CR60" s="68">
        <f>3756+(3756*0.05*(2099/365))</f>
        <v>4835.978630136986</v>
      </c>
      <c r="CS60" s="68">
        <f>3656+(3656*0.05*(2130/365))</f>
        <v>4722.750684931507</v>
      </c>
      <c r="CT60" s="68">
        <f>3656+(3656*0.05*(2160/365))</f>
        <v>4737.775342465753</v>
      </c>
      <c r="CU60" s="68">
        <f>3556+(3556*0.05*(2191/365))</f>
        <v>4623.287123287671</v>
      </c>
      <c r="CV60" s="68">
        <f>3556+(3556*0.05*(2222/365))</f>
        <v>4638.387945205479</v>
      </c>
      <c r="CW60" s="68">
        <f>3556+(3556*0.05*(2251/365))</f>
        <v>4652.514520547946</v>
      </c>
      <c r="CX60" s="68">
        <f>3556+(3556*0.05*(2282/365))</f>
        <v>4667.615342465753</v>
      </c>
      <c r="CY60" s="68">
        <f>3456+(3456*0.05*(2312/365))</f>
        <v>4550.557808219178</v>
      </c>
      <c r="CZ60" s="68">
        <f>3456+(3456*0.05*(2343/365))</f>
        <v>4565.23397260274</v>
      </c>
      <c r="DA60" s="68">
        <f>3356+(3356*0.05*(2373/365))</f>
        <v>4446.929863013698</v>
      </c>
      <c r="DB60" s="68">
        <f>3356+(3356*0.05*(2404/365))</f>
        <v>4461.181369863014</v>
      </c>
      <c r="DC60" s="68">
        <f>3356+(3356*0.05*(2435/365))</f>
        <v>4475.432876712329</v>
      </c>
      <c r="DD60" s="85">
        <f>3256+(3256*0.05*(2465/365))</f>
        <v>4355.457534246576</v>
      </c>
      <c r="DE60" s="85">
        <f>3256+(3256*0.05*(2496/365))</f>
        <v>4369.284383561644</v>
      </c>
      <c r="DF60" s="85">
        <f>3256+(3256*0.05*(2526/365))</f>
        <v>4382.665205479452</v>
      </c>
      <c r="DG60" s="78">
        <f>3156+(3156*0.05*(2557/365))</f>
        <v>4261.464657534247</v>
      </c>
      <c r="DH60" s="78">
        <f>3156+(3156*0.05*(2588/365))</f>
        <v>4274.866849315069</v>
      </c>
      <c r="DI60" s="78">
        <f>3156+(3156*0.05*(2616/365))</f>
        <v>4286.972054794521</v>
      </c>
      <c r="DJ60" s="81">
        <f>3056+(3056*0.05*(2647/365))</f>
        <v>4164.1139726027395</v>
      </c>
      <c r="DK60" s="81">
        <f>3056+(3056*0.05*(2677/365))</f>
        <v>4176.672876712329</v>
      </c>
      <c r="DL60" s="81">
        <f>3056+(3056*0.05*(2708/365))</f>
        <v>4189.650410958904</v>
      </c>
      <c r="DM60" s="81">
        <f>2956+(2956*0.05*(2738/365))</f>
        <v>4064.702465753425</v>
      </c>
      <c r="DN60" s="81">
        <f>2956+(2956*0.05*(2769/365))</f>
        <v>4077.2553424657535</v>
      </c>
      <c r="DO60" s="81">
        <f>2956+(2956*0.05*(2800/365))</f>
        <v>4089.8082191780823</v>
      </c>
      <c r="DP60" s="81">
        <f>2856+(2856*0.05*(2830/365))</f>
        <v>3963.1890410958904</v>
      </c>
      <c r="DQ60" s="81">
        <f>2856+(2856*0.05*(2861/365))</f>
        <v>3975.317260273973</v>
      </c>
      <c r="DR60" s="81">
        <f>2856+(2856*0.05*(2891/365))</f>
        <v>3987.0542465753424</v>
      </c>
      <c r="DS60" s="81">
        <f>2756+(2756*0.05*(2922/365))</f>
        <v>3859.155068493151</v>
      </c>
      <c r="DT60" s="79">
        <f>2756+(2756*0.05*(2953/365))</f>
        <v>3870.8586301369864</v>
      </c>
      <c r="DU60" s="81">
        <f>2756+(2756*0.05*(2981/365))</f>
        <v>3881.429589041096</v>
      </c>
      <c r="DV60" s="81">
        <f>2656+(2656*0.05*(3012/365))</f>
        <v>3751.872876712329</v>
      </c>
      <c r="DW60" s="81">
        <f>2656+(2656*0.05*(3042/365))</f>
        <v>3762.7879452054794</v>
      </c>
      <c r="DX60" s="81">
        <f>2656+(2656*0.05*(3073/365))</f>
        <v>3774.066849315069</v>
      </c>
      <c r="DY60" s="81">
        <f>2556+(2556*0.05*(3103/365))</f>
        <v>3642.4750684931505</v>
      </c>
      <c r="DZ60" s="81">
        <f>2556+(2556*0.05*(3134/365))</f>
        <v>3653.329315068493</v>
      </c>
      <c r="EA60" s="81">
        <f>2556+(2556*0.05*(3165/365))</f>
        <v>3664.1835616438357</v>
      </c>
      <c r="EB60" s="81">
        <f>2456+(2456*0.05*(3195/365))</f>
        <v>3530.9205479452057</v>
      </c>
      <c r="EC60" s="81">
        <f>2456+(2456*0.05*(3226/365))</f>
        <v>3541.3501369863015</v>
      </c>
      <c r="ED60" s="81">
        <f>2456+(2456*0.05*(3256/365))</f>
        <v>3551.4432876712326</v>
      </c>
      <c r="EE60" s="81">
        <f>2456+(2456*0.05*(3287/365))</f>
        <v>3561.872876712329</v>
      </c>
      <c r="EF60" s="81">
        <f>2456+(2456*0.05*(3318/365))</f>
        <v>3572.302465753425</v>
      </c>
      <c r="EG60" s="81">
        <f>2456+(2456*0.05*(3346/365))</f>
        <v>3581.7227397260276</v>
      </c>
      <c r="EH60" s="79">
        <f>2456+(2456*0.05*(3377/365))</f>
        <v>3592.1523287671234</v>
      </c>
      <c r="EI60" s="79">
        <f>2356+(2356*0.05*(3407/365))</f>
        <v>3455.574246575343</v>
      </c>
      <c r="EJ60" s="79">
        <f>2356+(2356*0.05*(3438/365))</f>
        <v>3465.579178082192</v>
      </c>
      <c r="EK60" s="79">
        <f>2356+(2356*0.05*(3468/365))</f>
        <v>3475.261369863014</v>
      </c>
      <c r="EL60" s="79">
        <f>2356+(2356*0.05*(3499/365))</f>
        <v>3485.266301369863</v>
      </c>
      <c r="EM60" s="79">
        <f>2356+(2356*0.05*(3530/365))</f>
        <v>3495.2712328767125</v>
      </c>
      <c r="EN60" s="79">
        <f>2356+(2356*0.05*(3560/365))</f>
        <v>3504.953424657534</v>
      </c>
      <c r="EO60" s="79">
        <f>2356+(2356*0.05*(3591/365))</f>
        <v>3514.958356164384</v>
      </c>
      <c r="EP60" s="79">
        <f>2356+(2356*0.05*(3621/365))</f>
        <v>3524.6405479452055</v>
      </c>
      <c r="EQ60" s="79">
        <f>2356+(2356*0.05*(3652/365))</f>
        <v>3534.645479452055</v>
      </c>
      <c r="ER60" s="271">
        <f>2356+(2356*0.05*(3683/365))</f>
        <v>3544.650410958904</v>
      </c>
      <c r="ES60" s="78">
        <f>2356+(2356*0.05*(3712/365))</f>
        <v>3554.009863013699</v>
      </c>
      <c r="ET60" s="78">
        <f>2356+(2356*0.05*(3743/365))</f>
        <v>3564.014794520548</v>
      </c>
      <c r="EU60" s="78">
        <f>2356+(2356*0.05*(3773/365))</f>
        <v>3573.69698630137</v>
      </c>
      <c r="EV60" s="78">
        <f>2356+(2356*0.05*(3804/365))</f>
        <v>3583.701917808219</v>
      </c>
      <c r="EW60" s="78">
        <f>2356+(2356*0.05*(3834/365))</f>
        <v>3593.384109589041</v>
      </c>
      <c r="EX60" s="78">
        <f>2356+(2356*0.05*(3865/365))</f>
        <v>3603.38904109589</v>
      </c>
      <c r="EY60" s="78">
        <f>2356+(2356*0.05*(3896/365))</f>
        <v>3613.3939726027397</v>
      </c>
      <c r="EZ60" s="78">
        <f>2356+(2356*0.05*(3926/365))</f>
        <v>3623.0761643835617</v>
      </c>
      <c r="FA60" s="78">
        <f>2356+(2356*0.05*(3957/365))</f>
        <v>3633.0810958904112</v>
      </c>
      <c r="FB60" s="78">
        <f>2356+(2356*0.05*(3987/365))</f>
        <v>3642.7632876712332</v>
      </c>
      <c r="FC60" s="78">
        <f>2356+(2356*0.05*(4018/365))</f>
        <v>3652.7682191780823</v>
      </c>
      <c r="FD60" s="312">
        <f>2356+(2356*0.05*(4049/365))</f>
        <v>3662.7731506849314</v>
      </c>
      <c r="FE60" s="90">
        <f>2356+(2356*0.05*(4077/365))</f>
        <v>3671.8098630136988</v>
      </c>
      <c r="FF60" s="90">
        <f>2356+(2356*0.05*(4108/365))</f>
        <v>3681.8147945205483</v>
      </c>
      <c r="FG60" s="90">
        <f>2356+(2356*0.05*(4138/365))</f>
        <v>3691.4969863013703</v>
      </c>
      <c r="FH60" s="90">
        <f>2356+(2356*0.05*(4169/365))</f>
        <v>3701.5019178082193</v>
      </c>
      <c r="FI60" s="90">
        <f>2156+(2156*0.05*(4199/365))</f>
        <v>3396.14301369863</v>
      </c>
      <c r="FJ60" s="90">
        <f>2156+(2156*0.05*(4230/365))</f>
        <v>3405.2986301369865</v>
      </c>
      <c r="FK60" s="90">
        <f>2156+(2156*0.05*(4261/365))</f>
        <v>3414.4542465753425</v>
      </c>
      <c r="FL60" s="90">
        <f>2156+(2156*0.05*(4291/365))</f>
        <v>3423.314520547945</v>
      </c>
      <c r="FM60" s="90">
        <f>2156+(2156*0.05*(4322/365))</f>
        <v>3432.4701369863014</v>
      </c>
      <c r="FN60" s="90">
        <f>2156+(2156*0.05*(4352/365))</f>
        <v>3441.3304109589044</v>
      </c>
      <c r="FO60" s="157">
        <f>2156+(2156*0.05*(4383/365))</f>
        <v>3450.4860273972604</v>
      </c>
      <c r="FP60" s="312">
        <f>2156+(2156*0.05*(4414/365))</f>
        <v>3459.6416438356164</v>
      </c>
      <c r="FQ60" s="90">
        <f>2156+(2156*0.05*(4442/365))</f>
        <v>3467.9112328767123</v>
      </c>
      <c r="FR60" s="90">
        <f>2156+(2156*0.05*(4473/365))</f>
        <v>3477.066849315069</v>
      </c>
      <c r="FS60" s="90">
        <f>2156+(2156*0.05*(4503/365))</f>
        <v>3485.9271232876717</v>
      </c>
      <c r="FT60" s="90">
        <f>1956+(1956*0.05*(4534/365))</f>
        <v>3170.863561643836</v>
      </c>
      <c r="FU60" s="90">
        <f>1956+(1956*0.05*(4564/365))</f>
        <v>3178.9019178082194</v>
      </c>
      <c r="FV60" s="90">
        <f>1956+(1956*0.05*(4595/365))</f>
        <v>3187.2082191780823</v>
      </c>
      <c r="FW60" s="90">
        <f>1956+(1956*0.05*(4626/365))</f>
        <v>3195.5145205479453</v>
      </c>
      <c r="FX60" s="90">
        <f>1956+(1956*0.05*(4656/365))</f>
        <v>3203.5528767123287</v>
      </c>
      <c r="FY60" s="90">
        <f>1956+(1956*0.05*(4687/365))</f>
        <v>3211.8591780821916</v>
      </c>
      <c r="FZ60" s="90">
        <f>1956+(1956*0.05*(4717/365))</f>
        <v>3219.8975342465756</v>
      </c>
      <c r="GA60" s="157">
        <f>1956+(1956*0.05*(4748/365))</f>
        <v>3228.2038356164385</v>
      </c>
      <c r="GB60" s="312">
        <f>1956+(1956*0.05*(4779/365))</f>
        <v>3236.5101369863014</v>
      </c>
      <c r="GC60" s="90">
        <f>1956+(1956*0.05*(4807/365))</f>
        <v>3244.0126027397264</v>
      </c>
      <c r="GD60" s="157">
        <f>1956+(1956*0.05*(4838/365))</f>
        <v>3252.3189041095893</v>
      </c>
      <c r="GE60" s="90">
        <f>1956+(1956*0.05*(4835/365))</f>
        <v>3251.515068493151</v>
      </c>
      <c r="GF60" s="90">
        <f>1956+(1956*0.05*(4842/365))</f>
        <v>3253.390684931507</v>
      </c>
      <c r="GG60" s="90">
        <f>1956+(1956*0.05*(4849/365))</f>
        <v>3255.266301369863</v>
      </c>
      <c r="GH60" s="90">
        <f>1956+(1956*0.05*(4856/365))</f>
        <v>3257.141917808219</v>
      </c>
      <c r="GI60" s="157">
        <f>1956+(1956*0.05*(4863/365))</f>
        <v>3259.0175342465755</v>
      </c>
    </row>
    <row r="61" spans="1:191" ht="15" customHeight="1">
      <c r="A61" s="6"/>
      <c r="B61" s="117" t="s">
        <v>44</v>
      </c>
      <c r="C61" s="80">
        <v>2874</v>
      </c>
      <c r="D61" s="80">
        <v>2891</v>
      </c>
      <c r="E61" s="80">
        <v>2852</v>
      </c>
      <c r="F61" s="67">
        <v>2767</v>
      </c>
      <c r="G61" s="67">
        <v>2789</v>
      </c>
      <c r="H61" s="67">
        <v>2594</v>
      </c>
      <c r="I61" s="67">
        <v>2528</v>
      </c>
      <c r="J61" s="67">
        <v>2528</v>
      </c>
      <c r="K61" s="67">
        <v>2528</v>
      </c>
      <c r="L61" s="67">
        <v>2528</v>
      </c>
      <c r="M61" s="67">
        <v>2528</v>
      </c>
      <c r="N61" s="80">
        <v>2528</v>
      </c>
      <c r="O61" s="80">
        <v>2528</v>
      </c>
      <c r="P61" s="80">
        <v>2528</v>
      </c>
      <c r="Q61" s="80">
        <v>2528</v>
      </c>
      <c r="R61" s="80">
        <v>2528</v>
      </c>
      <c r="S61" s="80">
        <v>2528</v>
      </c>
      <c r="T61" s="80">
        <v>2528</v>
      </c>
      <c r="U61" s="80">
        <v>2528</v>
      </c>
      <c r="V61" s="80">
        <v>2528</v>
      </c>
      <c r="W61" s="80">
        <v>2528</v>
      </c>
      <c r="X61" s="80">
        <v>2528</v>
      </c>
      <c r="Y61" s="79">
        <v>2528</v>
      </c>
      <c r="Z61" s="79">
        <v>2528</v>
      </c>
      <c r="AA61" s="79">
        <v>2528</v>
      </c>
      <c r="AB61" s="79">
        <v>2528</v>
      </c>
      <c r="AC61" s="79">
        <v>2528</v>
      </c>
      <c r="AD61" s="81">
        <v>2528</v>
      </c>
      <c r="AE61" s="81"/>
      <c r="AF61" s="81"/>
      <c r="AG61" s="81"/>
      <c r="AH61" s="81"/>
      <c r="AI61" s="81"/>
      <c r="AJ61" s="81"/>
      <c r="AK61" s="81"/>
      <c r="AL61" s="81"/>
      <c r="AM61" s="81"/>
      <c r="AN61" s="81"/>
      <c r="AO61" s="81"/>
      <c r="AP61" s="81"/>
      <c r="AQ61" s="81"/>
      <c r="AR61" s="81"/>
      <c r="AS61" s="81"/>
      <c r="AT61" s="81"/>
      <c r="AU61" s="81"/>
      <c r="AV61" s="81"/>
      <c r="AW61" s="79"/>
      <c r="AX61" s="81"/>
      <c r="AY61" s="81"/>
      <c r="AZ61" s="81"/>
      <c r="BA61" s="81"/>
      <c r="BB61" s="81"/>
      <c r="BC61" s="81"/>
      <c r="BD61" s="81"/>
      <c r="BE61" s="81"/>
      <c r="BF61" s="81"/>
      <c r="BG61" s="81"/>
      <c r="BH61" s="81"/>
      <c r="BI61" s="81"/>
      <c r="BJ61" s="81"/>
      <c r="BK61" s="81"/>
      <c r="BL61" s="81"/>
      <c r="BM61" s="81"/>
      <c r="BN61" s="81"/>
      <c r="BO61" s="79"/>
      <c r="BP61" s="79"/>
      <c r="BQ61" s="79"/>
      <c r="BR61" s="79"/>
      <c r="BS61" s="79"/>
      <c r="BT61" s="79"/>
      <c r="BU61" s="79"/>
      <c r="BV61" s="79"/>
      <c r="BW61" s="79"/>
      <c r="BX61" s="79"/>
      <c r="BY61" s="79"/>
      <c r="BZ61" s="79"/>
      <c r="CA61" s="25"/>
      <c r="CB61" s="25"/>
      <c r="CC61" s="25"/>
      <c r="CD61" s="25"/>
      <c r="CE61" s="25"/>
      <c r="CF61" s="25"/>
      <c r="CG61" s="25"/>
      <c r="CH61" s="79"/>
      <c r="CI61" s="165"/>
      <c r="CJ61" s="165"/>
      <c r="CK61" s="165"/>
      <c r="CL61" s="165"/>
      <c r="CM61" s="165"/>
      <c r="CN61" s="165"/>
      <c r="CO61" s="165"/>
      <c r="CP61" s="165"/>
      <c r="CQ61" s="165"/>
      <c r="CR61" s="165"/>
      <c r="CS61" s="165"/>
      <c r="CT61" s="165"/>
      <c r="CU61" s="165"/>
      <c r="CV61" s="165"/>
      <c r="CW61" s="165"/>
      <c r="CX61" s="165"/>
      <c r="CY61" s="62"/>
      <c r="CZ61" s="62"/>
      <c r="DA61" s="62"/>
      <c r="DB61" s="62"/>
      <c r="DC61" s="62"/>
      <c r="DD61" s="62"/>
      <c r="DE61" s="62"/>
      <c r="DF61" s="62"/>
      <c r="DG61" s="62"/>
      <c r="DH61" s="62"/>
      <c r="DI61" s="62"/>
      <c r="DJ61" s="62"/>
      <c r="DK61" s="62"/>
      <c r="DL61" s="62"/>
      <c r="DM61" s="173"/>
      <c r="DN61" s="62"/>
      <c r="DO61" s="62"/>
      <c r="DP61" s="62"/>
      <c r="DQ61" s="62"/>
      <c r="DR61" s="62"/>
      <c r="DS61" s="62"/>
      <c r="DT61" s="62"/>
      <c r="DU61" s="62"/>
      <c r="DV61" s="62"/>
      <c r="DW61" s="62"/>
      <c r="DX61" s="62"/>
      <c r="DY61" s="62"/>
      <c r="DZ61" s="81"/>
      <c r="EA61" s="79"/>
      <c r="EB61" s="79"/>
      <c r="EC61" s="79"/>
      <c r="ED61" s="79"/>
      <c r="EE61" s="79"/>
      <c r="EF61" s="81"/>
      <c r="EG61" s="81"/>
      <c r="EH61" s="81"/>
      <c r="EI61" s="79"/>
      <c r="EJ61" s="79"/>
      <c r="EK61" s="79"/>
      <c r="EL61" s="79"/>
      <c r="EM61" s="79"/>
      <c r="EN61" s="79"/>
      <c r="EO61" s="79"/>
      <c r="EP61" s="79"/>
      <c r="EQ61" s="79"/>
      <c r="ER61" s="79"/>
      <c r="ES61" s="79"/>
      <c r="ET61" s="79"/>
      <c r="EU61" s="79"/>
      <c r="EV61" s="79"/>
      <c r="EW61" s="79"/>
      <c r="EX61" s="79"/>
      <c r="EY61" s="79"/>
      <c r="EZ61" s="79"/>
      <c r="FA61" s="79"/>
      <c r="FB61" s="79"/>
      <c r="FC61" s="79"/>
      <c r="FD61" s="310"/>
      <c r="FE61" s="95"/>
      <c r="FF61" s="95"/>
      <c r="FG61" s="95"/>
      <c r="FH61" s="95"/>
      <c r="FI61" s="95"/>
      <c r="FJ61" s="95"/>
      <c r="FK61" s="95"/>
      <c r="FL61" s="95"/>
      <c r="FM61" s="95"/>
      <c r="FN61" s="95"/>
      <c r="FO61" s="95"/>
      <c r="FP61" s="310"/>
      <c r="FY61" s="414"/>
      <c r="FZ61" s="438"/>
      <c r="GA61" s="415"/>
      <c r="GB61" s="431"/>
      <c r="GC61" s="414"/>
      <c r="GD61" s="415"/>
      <c r="GE61" s="3"/>
      <c r="GF61" s="3"/>
      <c r="GG61" s="3"/>
      <c r="GH61" s="3"/>
      <c r="GI61" s="132"/>
    </row>
    <row r="62" spans="1:191" ht="15" customHeight="1">
      <c r="A62" s="6"/>
      <c r="B62" s="117" t="s">
        <v>135</v>
      </c>
      <c r="C62" s="80">
        <v>206</v>
      </c>
      <c r="D62" s="80">
        <v>586</v>
      </c>
      <c r="E62" s="80">
        <v>622</v>
      </c>
      <c r="F62" s="67">
        <v>636</v>
      </c>
      <c r="G62" s="67">
        <v>664</v>
      </c>
      <c r="H62" s="67">
        <v>678</v>
      </c>
      <c r="I62" s="67">
        <v>707</v>
      </c>
      <c r="J62" s="67">
        <v>707</v>
      </c>
      <c r="K62" s="67">
        <v>707</v>
      </c>
      <c r="L62" s="67">
        <v>707</v>
      </c>
      <c r="M62" s="67">
        <v>707</v>
      </c>
      <c r="N62" s="80">
        <v>707</v>
      </c>
      <c r="O62" s="80">
        <v>707</v>
      </c>
      <c r="P62" s="80">
        <v>707</v>
      </c>
      <c r="Q62" s="80">
        <v>707</v>
      </c>
      <c r="R62" s="80">
        <v>707</v>
      </c>
      <c r="S62" s="80">
        <v>707</v>
      </c>
      <c r="T62" s="80">
        <v>707</v>
      </c>
      <c r="U62" s="80">
        <v>707</v>
      </c>
      <c r="V62" s="80">
        <v>707</v>
      </c>
      <c r="W62" s="80">
        <v>707</v>
      </c>
      <c r="X62" s="80">
        <v>707</v>
      </c>
      <c r="Y62" s="79">
        <v>707</v>
      </c>
      <c r="Z62" s="79">
        <v>707</v>
      </c>
      <c r="AA62" s="79">
        <v>707</v>
      </c>
      <c r="AB62" s="79">
        <v>707</v>
      </c>
      <c r="AC62" s="79">
        <v>707</v>
      </c>
      <c r="AD62" s="81">
        <v>707</v>
      </c>
      <c r="AE62" s="81"/>
      <c r="AF62" s="81"/>
      <c r="AG62" s="81"/>
      <c r="AH62" s="81"/>
      <c r="AI62" s="81"/>
      <c r="AJ62" s="81"/>
      <c r="AK62" s="81"/>
      <c r="AL62" s="81"/>
      <c r="AM62" s="81"/>
      <c r="AN62" s="81"/>
      <c r="AO62" s="81"/>
      <c r="AP62" s="81"/>
      <c r="AQ62" s="81"/>
      <c r="AR62" s="81"/>
      <c r="AS62" s="81"/>
      <c r="AT62" s="81"/>
      <c r="AU62" s="81"/>
      <c r="AV62" s="81"/>
      <c r="AW62" s="79"/>
      <c r="AX62" s="81"/>
      <c r="AY62" s="81"/>
      <c r="AZ62" s="81"/>
      <c r="BA62" s="81"/>
      <c r="BB62" s="81"/>
      <c r="BC62" s="81"/>
      <c r="BD62" s="81"/>
      <c r="BE62" s="81"/>
      <c r="BF62" s="81"/>
      <c r="BG62" s="81"/>
      <c r="BH62" s="81"/>
      <c r="BI62" s="81"/>
      <c r="BJ62" s="81"/>
      <c r="BK62" s="81"/>
      <c r="BL62" s="81"/>
      <c r="BM62" s="81"/>
      <c r="BN62" s="81"/>
      <c r="BO62" s="79"/>
      <c r="BP62" s="79"/>
      <c r="BQ62" s="79"/>
      <c r="BR62" s="79"/>
      <c r="BS62" s="79"/>
      <c r="BT62" s="79"/>
      <c r="BU62" s="79"/>
      <c r="BV62" s="79"/>
      <c r="BW62" s="79"/>
      <c r="BX62" s="79"/>
      <c r="BY62" s="79"/>
      <c r="BZ62" s="79"/>
      <c r="CA62" s="25"/>
      <c r="CB62" s="25"/>
      <c r="CC62" s="25"/>
      <c r="CD62" s="25"/>
      <c r="CE62" s="25"/>
      <c r="CF62" s="25"/>
      <c r="CG62" s="25"/>
      <c r="CH62" s="25"/>
      <c r="CI62" s="78"/>
      <c r="CJ62" s="165"/>
      <c r="CK62" s="165"/>
      <c r="CL62" s="165"/>
      <c r="CM62" s="165"/>
      <c r="CN62" s="165"/>
      <c r="CO62" s="165"/>
      <c r="CP62" s="165"/>
      <c r="CQ62" s="165"/>
      <c r="CR62" s="165"/>
      <c r="CS62" s="165"/>
      <c r="CT62" s="165"/>
      <c r="CU62" s="165"/>
      <c r="CV62" s="165"/>
      <c r="CW62" s="165"/>
      <c r="CX62" s="165"/>
      <c r="CY62" s="165"/>
      <c r="CZ62" s="165"/>
      <c r="DA62" s="165"/>
      <c r="DB62" s="165"/>
      <c r="DC62" s="165"/>
      <c r="DD62" s="62"/>
      <c r="DE62" s="62"/>
      <c r="DF62" s="62"/>
      <c r="DG62" s="62"/>
      <c r="DH62" s="62"/>
      <c r="DI62" s="62"/>
      <c r="DJ62" s="85"/>
      <c r="DK62" s="62"/>
      <c r="DL62" s="62"/>
      <c r="DM62" s="62"/>
      <c r="DN62" s="62"/>
      <c r="DO62" s="62"/>
      <c r="DP62" s="62"/>
      <c r="DQ62" s="62"/>
      <c r="DR62" s="62"/>
      <c r="DS62" s="62"/>
      <c r="DT62" s="62"/>
      <c r="DU62" s="62"/>
      <c r="DV62" s="62"/>
      <c r="DW62" s="62"/>
      <c r="DX62" s="267"/>
      <c r="DY62" s="267"/>
      <c r="DZ62" s="282"/>
      <c r="EA62" s="283"/>
      <c r="EB62" s="283"/>
      <c r="EC62" s="283"/>
      <c r="ED62" s="283"/>
      <c r="EE62" s="283"/>
      <c r="EF62" s="284"/>
      <c r="EG62" s="81">
        <v>1000</v>
      </c>
      <c r="EH62" s="81">
        <v>4425</v>
      </c>
      <c r="EI62" s="79">
        <v>4425</v>
      </c>
      <c r="EJ62" s="79">
        <v>4425</v>
      </c>
      <c r="EK62" s="79">
        <v>4425</v>
      </c>
      <c r="EL62" s="79">
        <v>4425</v>
      </c>
      <c r="EM62" s="79">
        <v>5425</v>
      </c>
      <c r="EN62" s="79">
        <v>5425</v>
      </c>
      <c r="EO62" s="79">
        <v>5425</v>
      </c>
      <c r="EP62" s="79">
        <v>6025</v>
      </c>
      <c r="EQ62" s="79">
        <v>6225</v>
      </c>
      <c r="ER62" s="271">
        <v>8225</v>
      </c>
      <c r="ES62" s="78">
        <v>10225</v>
      </c>
      <c r="ET62" s="78">
        <v>11225</v>
      </c>
      <c r="EU62" s="81">
        <v>11225</v>
      </c>
      <c r="EV62" s="81">
        <v>11225</v>
      </c>
      <c r="EW62" s="81">
        <v>13225</v>
      </c>
      <c r="EX62" s="81">
        <v>13225</v>
      </c>
      <c r="EY62" s="81">
        <v>13225</v>
      </c>
      <c r="EZ62" s="81">
        <v>13225</v>
      </c>
      <c r="FA62" s="81">
        <v>14725</v>
      </c>
      <c r="FB62" s="81">
        <v>14725</v>
      </c>
      <c r="FC62" s="81">
        <v>16225</v>
      </c>
      <c r="FD62" s="296">
        <v>16225</v>
      </c>
      <c r="FE62" s="91">
        <v>16225</v>
      </c>
      <c r="FF62" s="91">
        <v>16225</v>
      </c>
      <c r="FG62" s="91">
        <v>16225</v>
      </c>
      <c r="FH62" s="91">
        <v>16225</v>
      </c>
      <c r="FI62" s="91">
        <v>16225</v>
      </c>
      <c r="FJ62" s="91">
        <v>16225</v>
      </c>
      <c r="FK62" s="91">
        <v>16225</v>
      </c>
      <c r="FL62" s="91">
        <v>16225</v>
      </c>
      <c r="FM62" s="91">
        <v>16225</v>
      </c>
      <c r="FN62" s="91">
        <v>16225</v>
      </c>
      <c r="FO62" s="91">
        <v>16225</v>
      </c>
      <c r="FP62" s="296">
        <v>16225</v>
      </c>
      <c r="FQ62" s="91">
        <v>16225</v>
      </c>
      <c r="FR62" s="91">
        <v>16225</v>
      </c>
      <c r="FS62" s="91">
        <v>16225</v>
      </c>
      <c r="FT62" s="91">
        <v>16225</v>
      </c>
      <c r="FU62" s="91">
        <v>16225</v>
      </c>
      <c r="FV62" s="91">
        <v>16225</v>
      </c>
      <c r="FW62" s="91">
        <v>16225</v>
      </c>
      <c r="FX62" s="91">
        <v>15225</v>
      </c>
      <c r="FY62" s="91">
        <v>15125</v>
      </c>
      <c r="FZ62" s="91">
        <v>15125</v>
      </c>
      <c r="GA62" s="393">
        <v>14925</v>
      </c>
      <c r="GB62" s="91">
        <v>14925</v>
      </c>
      <c r="GC62" s="91">
        <v>14925</v>
      </c>
      <c r="GD62" s="393">
        <v>14925</v>
      </c>
      <c r="GE62" s="91">
        <v>14925</v>
      </c>
      <c r="GF62" s="91">
        <v>14925</v>
      </c>
      <c r="GG62" s="91">
        <v>14925</v>
      </c>
      <c r="GH62" s="91">
        <v>14925</v>
      </c>
      <c r="GI62" s="393">
        <v>14925</v>
      </c>
    </row>
    <row r="63" spans="1:191" ht="15" customHeight="1">
      <c r="A63" s="6"/>
      <c r="B63" s="117" t="s">
        <v>148</v>
      </c>
      <c r="C63" s="80"/>
      <c r="D63" s="80"/>
      <c r="E63" s="80"/>
      <c r="F63" s="67"/>
      <c r="G63" s="67"/>
      <c r="H63" s="67"/>
      <c r="I63" s="67"/>
      <c r="J63" s="67"/>
      <c r="K63" s="67"/>
      <c r="L63" s="67"/>
      <c r="M63" s="67"/>
      <c r="N63" s="80"/>
      <c r="O63" s="80"/>
      <c r="P63" s="80"/>
      <c r="Q63" s="80"/>
      <c r="R63" s="80"/>
      <c r="S63" s="80"/>
      <c r="T63" s="80"/>
      <c r="U63" s="80"/>
      <c r="V63" s="80"/>
      <c r="W63" s="80"/>
      <c r="X63" s="80"/>
      <c r="Y63" s="79"/>
      <c r="Z63" s="79"/>
      <c r="AA63" s="79"/>
      <c r="AB63" s="79"/>
      <c r="AC63" s="79"/>
      <c r="AD63" s="81"/>
      <c r="AE63" s="81"/>
      <c r="AF63" s="81"/>
      <c r="AG63" s="81"/>
      <c r="AH63" s="81"/>
      <c r="AI63" s="81"/>
      <c r="AJ63" s="81"/>
      <c r="AK63" s="81"/>
      <c r="AL63" s="81"/>
      <c r="AM63" s="81"/>
      <c r="AN63" s="81"/>
      <c r="AO63" s="81"/>
      <c r="AP63" s="81"/>
      <c r="AQ63" s="81"/>
      <c r="AR63" s="81"/>
      <c r="AS63" s="81"/>
      <c r="AT63" s="81"/>
      <c r="AU63" s="81"/>
      <c r="AV63" s="81"/>
      <c r="AW63" s="79"/>
      <c r="AX63" s="81"/>
      <c r="AY63" s="81"/>
      <c r="AZ63" s="81"/>
      <c r="BA63" s="81"/>
      <c r="BB63" s="81"/>
      <c r="BC63" s="81"/>
      <c r="BD63" s="81"/>
      <c r="BE63" s="81"/>
      <c r="BF63" s="81"/>
      <c r="BG63" s="81"/>
      <c r="BH63" s="81"/>
      <c r="BI63" s="81"/>
      <c r="BJ63" s="81"/>
      <c r="BK63" s="81"/>
      <c r="BL63" s="81"/>
      <c r="BM63" s="81"/>
      <c r="BN63" s="81"/>
      <c r="BO63" s="79"/>
      <c r="BP63" s="79"/>
      <c r="BQ63" s="79"/>
      <c r="BR63" s="79"/>
      <c r="BS63" s="79"/>
      <c r="BT63" s="79"/>
      <c r="BU63" s="79"/>
      <c r="BV63" s="79"/>
      <c r="BW63" s="79"/>
      <c r="BX63" s="79"/>
      <c r="BY63" s="79"/>
      <c r="BZ63" s="79"/>
      <c r="CA63" s="25"/>
      <c r="CB63" s="25"/>
      <c r="CC63" s="25"/>
      <c r="CD63" s="25"/>
      <c r="CE63" s="25"/>
      <c r="CF63" s="25"/>
      <c r="CG63" s="25"/>
      <c r="CH63" s="25"/>
      <c r="CI63" s="78"/>
      <c r="CJ63" s="165"/>
      <c r="CK63" s="165"/>
      <c r="CL63" s="165"/>
      <c r="CM63" s="165"/>
      <c r="CN63" s="165"/>
      <c r="CO63" s="165"/>
      <c r="CP63" s="165"/>
      <c r="CQ63" s="165"/>
      <c r="CR63" s="165"/>
      <c r="CS63" s="165"/>
      <c r="CT63" s="165"/>
      <c r="CU63" s="165"/>
      <c r="CV63" s="165"/>
      <c r="CW63" s="165"/>
      <c r="CX63" s="165"/>
      <c r="CY63" s="165"/>
      <c r="CZ63" s="165"/>
      <c r="DA63" s="165"/>
      <c r="DB63" s="165"/>
      <c r="DC63" s="165"/>
      <c r="DD63" s="62"/>
      <c r="DE63" s="62"/>
      <c r="DF63" s="62"/>
      <c r="DG63" s="62"/>
      <c r="DH63" s="62"/>
      <c r="DI63" s="62"/>
      <c r="DJ63" s="85"/>
      <c r="DK63" s="62"/>
      <c r="DL63" s="62"/>
      <c r="DM63" s="62"/>
      <c r="DN63" s="62"/>
      <c r="DO63" s="62"/>
      <c r="DP63" s="62"/>
      <c r="DQ63" s="62"/>
      <c r="DR63" s="62"/>
      <c r="DS63" s="62"/>
      <c r="DT63" s="62"/>
      <c r="DU63" s="62"/>
      <c r="DV63" s="62"/>
      <c r="DW63" s="62"/>
      <c r="DX63" s="267"/>
      <c r="DY63" s="267"/>
      <c r="DZ63" s="282"/>
      <c r="EA63" s="283"/>
      <c r="EB63" s="283"/>
      <c r="EC63" s="283"/>
      <c r="ED63" s="283"/>
      <c r="EE63" s="283"/>
      <c r="EF63" s="284"/>
      <c r="EG63" s="81"/>
      <c r="EH63" s="81"/>
      <c r="EI63" s="79"/>
      <c r="EJ63" s="79"/>
      <c r="EK63" s="79"/>
      <c r="EL63" s="79"/>
      <c r="EM63" s="79"/>
      <c r="EN63" s="79"/>
      <c r="EO63" s="79"/>
      <c r="EP63" s="79"/>
      <c r="EQ63" s="79"/>
      <c r="ER63" s="271"/>
      <c r="ES63" s="78"/>
      <c r="ET63" s="78"/>
      <c r="EU63" s="81"/>
      <c r="EV63" s="81"/>
      <c r="EW63" s="81"/>
      <c r="EX63" s="81"/>
      <c r="EY63" s="81"/>
      <c r="EZ63" s="81">
        <v>953</v>
      </c>
      <c r="FA63" s="81">
        <v>953</v>
      </c>
      <c r="FB63" s="81">
        <v>953</v>
      </c>
      <c r="FC63" s="81">
        <v>953</v>
      </c>
      <c r="FD63" s="296">
        <v>953</v>
      </c>
      <c r="FE63" s="91">
        <v>953</v>
      </c>
      <c r="FF63" s="91">
        <v>953</v>
      </c>
      <c r="FG63" s="91">
        <v>953</v>
      </c>
      <c r="FH63" s="91">
        <v>953</v>
      </c>
      <c r="FI63" s="91">
        <v>953</v>
      </c>
      <c r="FJ63" s="91">
        <v>953</v>
      </c>
      <c r="FK63" s="91">
        <v>953</v>
      </c>
      <c r="FL63" s="91">
        <v>953</v>
      </c>
      <c r="FM63" s="91">
        <v>953</v>
      </c>
      <c r="FN63" s="91">
        <v>953</v>
      </c>
      <c r="FO63" s="91">
        <v>953</v>
      </c>
      <c r="FP63" s="296">
        <v>953</v>
      </c>
      <c r="FQ63" s="91">
        <v>953</v>
      </c>
      <c r="FR63" s="91">
        <v>953</v>
      </c>
      <c r="FS63" s="91">
        <v>953</v>
      </c>
      <c r="FT63" s="91">
        <v>953</v>
      </c>
      <c r="FU63" s="91">
        <v>953</v>
      </c>
      <c r="FV63" s="91">
        <v>953</v>
      </c>
      <c r="FW63" s="91">
        <v>953</v>
      </c>
      <c r="FX63" s="91">
        <v>953</v>
      </c>
      <c r="FY63" s="91">
        <v>953</v>
      </c>
      <c r="FZ63" s="91">
        <v>953</v>
      </c>
      <c r="GA63" s="393">
        <v>953</v>
      </c>
      <c r="GB63" s="296">
        <v>953</v>
      </c>
      <c r="GC63" s="91">
        <v>953</v>
      </c>
      <c r="GD63" s="393">
        <v>953</v>
      </c>
      <c r="GE63" s="90">
        <v>953</v>
      </c>
      <c r="GF63" s="90">
        <v>953</v>
      </c>
      <c r="GG63" s="90">
        <v>953</v>
      </c>
      <c r="GH63" s="90">
        <v>953</v>
      </c>
      <c r="GI63" s="157">
        <v>953</v>
      </c>
    </row>
    <row r="64" spans="1:191" ht="15" customHeight="1">
      <c r="A64" s="6"/>
      <c r="B64" s="117" t="s">
        <v>45</v>
      </c>
      <c r="C64" s="80">
        <v>909</v>
      </c>
      <c r="D64" s="80">
        <v>922</v>
      </c>
      <c r="E64" s="80">
        <v>1216</v>
      </c>
      <c r="F64" s="67">
        <v>1263.4</v>
      </c>
      <c r="G64" s="67">
        <v>1597</v>
      </c>
      <c r="H64" s="67">
        <v>1513</v>
      </c>
      <c r="I64" s="67">
        <v>1458</v>
      </c>
      <c r="J64" s="67">
        <v>1436</v>
      </c>
      <c r="K64" s="67">
        <v>1420</v>
      </c>
      <c r="L64" s="67">
        <v>1412</v>
      </c>
      <c r="M64" s="67">
        <v>1423</v>
      </c>
      <c r="N64" s="80">
        <v>1434</v>
      </c>
      <c r="O64" s="80">
        <v>1448</v>
      </c>
      <c r="P64" s="80">
        <v>1851</v>
      </c>
      <c r="Q64" s="80">
        <v>1821</v>
      </c>
      <c r="R64" s="80">
        <v>1821</v>
      </c>
      <c r="S64" s="80">
        <v>1821</v>
      </c>
      <c r="T64" s="80">
        <v>1821</v>
      </c>
      <c r="U64" s="80">
        <v>1821</v>
      </c>
      <c r="V64" s="80">
        <v>1821</v>
      </c>
      <c r="W64" s="80">
        <v>1821</v>
      </c>
      <c r="X64" s="80">
        <v>1821</v>
      </c>
      <c r="Y64" s="79">
        <v>1821</v>
      </c>
      <c r="Z64" s="79">
        <v>1821</v>
      </c>
      <c r="AA64" s="79">
        <v>1821</v>
      </c>
      <c r="AB64" s="79">
        <v>1821</v>
      </c>
      <c r="AC64" s="79">
        <v>1821</v>
      </c>
      <c r="AD64" s="81">
        <v>1821</v>
      </c>
      <c r="AE64" s="81"/>
      <c r="AF64" s="81"/>
      <c r="AG64" s="81"/>
      <c r="AH64" s="81"/>
      <c r="AI64" s="81"/>
      <c r="AJ64" s="81"/>
      <c r="AK64" s="81"/>
      <c r="AL64" s="81"/>
      <c r="AM64" s="81"/>
      <c r="AN64" s="81"/>
      <c r="AO64" s="81"/>
      <c r="AP64" s="81"/>
      <c r="AQ64" s="81"/>
      <c r="AR64" s="81"/>
      <c r="AS64" s="81"/>
      <c r="AT64" s="81"/>
      <c r="AU64" s="81"/>
      <c r="AV64" s="81"/>
      <c r="AW64" s="79"/>
      <c r="AX64" s="81"/>
      <c r="AY64" s="81"/>
      <c r="AZ64" s="81"/>
      <c r="BA64" s="81"/>
      <c r="BB64" s="81"/>
      <c r="BC64" s="81"/>
      <c r="BD64" s="81"/>
      <c r="BE64" s="81"/>
      <c r="BF64" s="81"/>
      <c r="BG64" s="81"/>
      <c r="BH64" s="81"/>
      <c r="BI64" s="81"/>
      <c r="BJ64" s="81"/>
      <c r="BK64" s="81"/>
      <c r="BL64" s="81"/>
      <c r="BM64" s="81"/>
      <c r="BN64" s="81"/>
      <c r="BO64" s="79"/>
      <c r="BP64" s="79"/>
      <c r="BQ64" s="79"/>
      <c r="BR64" s="62"/>
      <c r="BS64" s="62"/>
      <c r="BT64" s="62"/>
      <c r="BU64" s="62"/>
      <c r="BV64" s="62"/>
      <c r="BW64" s="62"/>
      <c r="BX64" s="62"/>
      <c r="BY64" s="62"/>
      <c r="BZ64" s="62"/>
      <c r="CA64" s="25"/>
      <c r="CB64" s="25"/>
      <c r="CC64" s="25"/>
      <c r="CD64" s="25"/>
      <c r="CE64" s="25"/>
      <c r="CF64" s="25"/>
      <c r="CG64" s="25"/>
      <c r="CH64" s="25"/>
      <c r="CI64" s="25"/>
      <c r="CJ64" s="25"/>
      <c r="CK64" s="25"/>
      <c r="CL64" s="25"/>
      <c r="CM64" s="25"/>
      <c r="CN64" s="165"/>
      <c r="CO64" s="165"/>
      <c r="CP64" s="165"/>
      <c r="CQ64" s="165"/>
      <c r="CR64" s="165"/>
      <c r="CS64" s="165"/>
      <c r="CT64" s="165"/>
      <c r="CU64" s="165"/>
      <c r="CV64" s="165"/>
      <c r="CW64" s="165"/>
      <c r="CX64" s="165"/>
      <c r="CY64" s="165"/>
      <c r="CZ64" s="165"/>
      <c r="DA64" s="165"/>
      <c r="DB64" s="165"/>
      <c r="DC64" s="79"/>
      <c r="DD64" s="62"/>
      <c r="DE64" s="62"/>
      <c r="DF64" s="62"/>
      <c r="DG64" s="62"/>
      <c r="DH64" s="62"/>
      <c r="DI64" s="62"/>
      <c r="DJ64" s="62"/>
      <c r="DK64" s="62"/>
      <c r="DL64" s="62"/>
      <c r="DM64" s="62"/>
      <c r="DN64" s="62"/>
      <c r="DO64" s="62"/>
      <c r="DP64" s="62"/>
      <c r="DQ64" s="62"/>
      <c r="DR64" s="62"/>
      <c r="DS64" s="62"/>
      <c r="DT64" s="62"/>
      <c r="DU64" s="62"/>
      <c r="DV64" s="62"/>
      <c r="DW64" s="62"/>
      <c r="DX64" s="267"/>
      <c r="DY64" s="267"/>
      <c r="DZ64" s="267"/>
      <c r="EA64" s="267"/>
      <c r="EB64" s="267"/>
      <c r="EC64" s="267"/>
      <c r="ED64" s="267"/>
      <c r="EE64" s="267"/>
      <c r="EF64" s="282"/>
      <c r="EG64" s="81"/>
      <c r="EH64" s="282"/>
      <c r="EI64" s="283"/>
      <c r="EJ64" s="283"/>
      <c r="EK64" s="79"/>
      <c r="EL64" s="79"/>
      <c r="EM64" s="79"/>
      <c r="EN64" s="79"/>
      <c r="EO64" s="79"/>
      <c r="EP64" s="79"/>
      <c r="EQ64" s="79"/>
      <c r="ER64" s="79"/>
      <c r="ES64" s="79"/>
      <c r="ET64" s="79"/>
      <c r="EU64" s="79"/>
      <c r="EV64" s="79" t="s">
        <v>144</v>
      </c>
      <c r="EW64" s="281"/>
      <c r="EX64" s="79"/>
      <c r="EY64" s="281"/>
      <c r="EZ64" s="281"/>
      <c r="FA64" s="281"/>
      <c r="FB64" s="281"/>
      <c r="FC64" s="281"/>
      <c r="FD64" s="322"/>
      <c r="FE64" s="323"/>
      <c r="FF64" s="323"/>
      <c r="FG64" s="323"/>
      <c r="FH64" s="323"/>
      <c r="FI64" s="323"/>
      <c r="FJ64" s="323"/>
      <c r="FK64" s="323"/>
      <c r="FL64" s="323"/>
      <c r="FM64" s="323"/>
      <c r="FN64" s="323"/>
      <c r="FO64" s="323"/>
      <c r="FP64" s="322"/>
      <c r="FQ64" s="91"/>
      <c r="FR64" s="91"/>
      <c r="FS64" s="91"/>
      <c r="FT64" s="91"/>
      <c r="FU64" s="91"/>
      <c r="FV64" s="91"/>
      <c r="FW64" s="91"/>
      <c r="FX64" s="91"/>
      <c r="FY64" s="383"/>
      <c r="FZ64" s="383"/>
      <c r="GA64" s="416"/>
      <c r="GB64" s="432"/>
      <c r="GC64" s="383"/>
      <c r="GD64" s="416"/>
      <c r="GE64" s="3"/>
      <c r="GF64" s="3"/>
      <c r="GG64" s="3"/>
      <c r="GH64" s="3"/>
      <c r="GI64" s="132"/>
    </row>
    <row r="65" spans="1:191" s="215" customFormat="1" ht="15" customHeight="1">
      <c r="A65" s="210" t="s">
        <v>60</v>
      </c>
      <c r="B65" s="249" t="s">
        <v>46</v>
      </c>
      <c r="C65" s="211">
        <v>14</v>
      </c>
      <c r="D65" s="211">
        <v>10</v>
      </c>
      <c r="E65" s="211">
        <v>19</v>
      </c>
      <c r="F65" s="216">
        <v>36.6</v>
      </c>
      <c r="G65" s="216">
        <v>30</v>
      </c>
      <c r="H65" s="216">
        <v>122</v>
      </c>
      <c r="I65" s="216">
        <v>157</v>
      </c>
      <c r="J65" s="216">
        <v>686</v>
      </c>
      <c r="K65" s="216">
        <v>830</v>
      </c>
      <c r="L65" s="216">
        <v>1709</v>
      </c>
      <c r="M65" s="216">
        <v>667</v>
      </c>
      <c r="N65" s="211">
        <v>1724</v>
      </c>
      <c r="O65" s="211">
        <v>595</v>
      </c>
      <c r="P65" s="211">
        <v>595.967</v>
      </c>
      <c r="Q65" s="211">
        <v>182.511</v>
      </c>
      <c r="R65" s="211">
        <v>494.394</v>
      </c>
      <c r="S65" s="211">
        <v>181.547</v>
      </c>
      <c r="T65" s="211">
        <v>261.337</v>
      </c>
      <c r="U65" s="211">
        <v>373.064</v>
      </c>
      <c r="V65" s="211">
        <v>451.804</v>
      </c>
      <c r="W65" s="211">
        <v>651.695</v>
      </c>
      <c r="X65" s="211">
        <v>365.19</v>
      </c>
      <c r="Y65" s="231">
        <v>1598.459</v>
      </c>
      <c r="Z65" s="231">
        <v>2251.855</v>
      </c>
      <c r="AA65" s="231">
        <v>2335.337</v>
      </c>
      <c r="AB65" s="231">
        <v>2011.583</v>
      </c>
      <c r="AC65" s="231">
        <v>1760.618</v>
      </c>
      <c r="AD65" s="231">
        <v>2989.038</v>
      </c>
      <c r="AE65" s="231">
        <v>2392.232</v>
      </c>
      <c r="AF65" s="231">
        <v>1614.954</v>
      </c>
      <c r="AG65" s="231">
        <v>1176.298</v>
      </c>
      <c r="AH65" s="231">
        <v>320.742</v>
      </c>
      <c r="AI65" s="232">
        <v>1955.545</v>
      </c>
      <c r="AJ65" s="232">
        <v>2203.069</v>
      </c>
      <c r="AK65" s="232">
        <v>2677.791</v>
      </c>
      <c r="AL65" s="232">
        <v>1456.917</v>
      </c>
      <c r="AM65" s="232">
        <v>4256.898</v>
      </c>
      <c r="AN65" s="232">
        <v>2463.293</v>
      </c>
      <c r="AO65" s="232">
        <v>1871.69</v>
      </c>
      <c r="AP65" s="232">
        <v>714.231</v>
      </c>
      <c r="AQ65" s="232">
        <v>1659.864</v>
      </c>
      <c r="AR65" s="232">
        <v>965.005</v>
      </c>
      <c r="AS65" s="232">
        <v>57.317</v>
      </c>
      <c r="AT65" s="232">
        <v>1315.822</v>
      </c>
      <c r="AU65" s="232">
        <v>1080.96</v>
      </c>
      <c r="AV65" s="232">
        <v>313.512</v>
      </c>
      <c r="AW65" s="231">
        <v>807.315</v>
      </c>
      <c r="AX65" s="232">
        <v>1880.693</v>
      </c>
      <c r="AY65" s="232">
        <v>3529.593</v>
      </c>
      <c r="AZ65" s="232">
        <v>2681.422</v>
      </c>
      <c r="BA65" s="232">
        <v>2989.32</v>
      </c>
      <c r="BB65" s="232">
        <v>2817.455</v>
      </c>
      <c r="BC65" s="232">
        <v>3384.066</v>
      </c>
      <c r="BD65" s="232">
        <v>6260.246</v>
      </c>
      <c r="BE65" s="232">
        <v>985.337</v>
      </c>
      <c r="BF65" s="232">
        <v>2570.099</v>
      </c>
      <c r="BG65" s="232">
        <v>1196.302</v>
      </c>
      <c r="BH65" s="232">
        <v>5702.634</v>
      </c>
      <c r="BI65" s="232">
        <v>3912.731</v>
      </c>
      <c r="BJ65" s="232">
        <v>7162.026</v>
      </c>
      <c r="BK65" s="232">
        <v>8371.619</v>
      </c>
      <c r="BL65" s="217">
        <v>5147.72</v>
      </c>
      <c r="BM65" s="217">
        <v>4793.403</v>
      </c>
      <c r="BN65" s="217">
        <v>4304.517</v>
      </c>
      <c r="BO65" s="217">
        <v>3687.276</v>
      </c>
      <c r="BP65" s="217">
        <v>1286.701</v>
      </c>
      <c r="BQ65" s="217">
        <v>882.444</v>
      </c>
      <c r="BR65" s="218">
        <v>3401.411</v>
      </c>
      <c r="BS65" s="218">
        <v>3721.283</v>
      </c>
      <c r="BT65" s="218">
        <v>699.699</v>
      </c>
      <c r="BU65" s="218">
        <v>735.186</v>
      </c>
      <c r="BV65" s="218">
        <v>1413.787</v>
      </c>
      <c r="BW65" s="218">
        <v>1088.965</v>
      </c>
      <c r="BX65" s="218">
        <v>3155.971</v>
      </c>
      <c r="BY65" s="218">
        <v>1769.753</v>
      </c>
      <c r="BZ65" s="218">
        <v>3216.838</v>
      </c>
      <c r="CA65" s="217">
        <v>3521.987</v>
      </c>
      <c r="CB65" s="217">
        <v>395.213</v>
      </c>
      <c r="CC65" s="217">
        <v>1471.728</v>
      </c>
      <c r="CD65" s="217">
        <v>943.712</v>
      </c>
      <c r="CE65" s="217">
        <v>1259.175</v>
      </c>
      <c r="CF65" s="217">
        <v>1119.791</v>
      </c>
      <c r="CG65" s="217">
        <v>721.975</v>
      </c>
      <c r="CH65" s="217">
        <v>2666.373</v>
      </c>
      <c r="CI65" s="217">
        <v>1384.233</v>
      </c>
      <c r="CJ65" s="217">
        <v>3069.108</v>
      </c>
      <c r="CK65" s="217">
        <v>2781.76</v>
      </c>
      <c r="CL65" s="217">
        <v>2520.03</v>
      </c>
      <c r="CM65" s="217">
        <v>1177.978</v>
      </c>
      <c r="CN65" s="217">
        <v>3389.844</v>
      </c>
      <c r="CO65" s="218">
        <v>2519.679</v>
      </c>
      <c r="CP65" s="218">
        <v>447.287</v>
      </c>
      <c r="CQ65" s="218">
        <v>2736.297</v>
      </c>
      <c r="CR65" s="218">
        <v>4319.411</v>
      </c>
      <c r="CS65" s="218">
        <v>2093.985</v>
      </c>
      <c r="CT65" s="218">
        <v>1718.105</v>
      </c>
      <c r="CU65" s="218">
        <v>5562.93</v>
      </c>
      <c r="CV65" s="218">
        <v>7647.81</v>
      </c>
      <c r="CW65" s="218">
        <v>4035.736</v>
      </c>
      <c r="CX65" s="218">
        <v>2514.788</v>
      </c>
      <c r="CY65" s="218">
        <v>2232.07</v>
      </c>
      <c r="CZ65" s="218">
        <v>2388.564</v>
      </c>
      <c r="DA65" s="218">
        <v>6043.899</v>
      </c>
      <c r="DB65" s="218">
        <v>5776.116</v>
      </c>
      <c r="DC65" s="218">
        <v>3635.005</v>
      </c>
      <c r="DD65" s="218">
        <v>2981.88</v>
      </c>
      <c r="DE65" s="218">
        <v>10285.445</v>
      </c>
      <c r="DF65" s="218">
        <v>4604.076</v>
      </c>
      <c r="DG65" s="218">
        <v>5528.388</v>
      </c>
      <c r="DH65" s="218">
        <v>3866.841</v>
      </c>
      <c r="DI65" s="218">
        <v>6606.081</v>
      </c>
      <c r="DJ65" s="232">
        <v>2191.813</v>
      </c>
      <c r="DK65" s="232">
        <v>1735.807</v>
      </c>
      <c r="DL65" s="232">
        <v>1712.851</v>
      </c>
      <c r="DM65" s="232">
        <v>1322.512</v>
      </c>
      <c r="DN65" s="231">
        <v>1069.984</v>
      </c>
      <c r="DO65" s="231">
        <v>1620.159</v>
      </c>
      <c r="DP65" s="231">
        <v>3606.462</v>
      </c>
      <c r="DQ65" s="232">
        <v>3478.265</v>
      </c>
      <c r="DR65" s="232">
        <v>1042.987</v>
      </c>
      <c r="DS65" s="217">
        <v>1894.638</v>
      </c>
      <c r="DT65" s="285">
        <v>1470.76</v>
      </c>
      <c r="DU65" s="214">
        <v>2389.463</v>
      </c>
      <c r="DV65" s="214">
        <v>2029.119</v>
      </c>
      <c r="DW65" s="214">
        <v>2507.306</v>
      </c>
      <c r="DX65" s="214">
        <v>5057.791</v>
      </c>
      <c r="DY65" s="214">
        <v>3500.092</v>
      </c>
      <c r="DZ65" s="231">
        <v>4632.646</v>
      </c>
      <c r="EA65" s="231">
        <v>4036.166</v>
      </c>
      <c r="EB65" s="231">
        <v>835.237</v>
      </c>
      <c r="EC65" s="231">
        <v>1980.057</v>
      </c>
      <c r="ED65" s="231">
        <v>2005.688</v>
      </c>
      <c r="EE65" s="231">
        <v>1106.637</v>
      </c>
      <c r="EF65" s="277">
        <v>2227.719</v>
      </c>
      <c r="EG65" s="277">
        <v>2639.488</v>
      </c>
      <c r="EH65" s="277">
        <v>2808.94</v>
      </c>
      <c r="EI65" s="277">
        <v>1858.792</v>
      </c>
      <c r="EJ65" s="277">
        <v>3846.115</v>
      </c>
      <c r="EK65" s="277">
        <v>1962.785</v>
      </c>
      <c r="EL65" s="277">
        <v>2271.087</v>
      </c>
      <c r="EM65" s="277">
        <v>3461.714</v>
      </c>
      <c r="EN65" s="277">
        <v>1799.171</v>
      </c>
      <c r="EO65" s="277">
        <v>2472.214</v>
      </c>
      <c r="EP65" s="277">
        <v>1939.728</v>
      </c>
      <c r="EQ65" s="277">
        <v>1522.347</v>
      </c>
      <c r="ER65" s="277">
        <v>2697.963</v>
      </c>
      <c r="ES65" s="217">
        <v>2485.022</v>
      </c>
      <c r="ET65" s="217">
        <v>1868.269</v>
      </c>
      <c r="EU65" s="217">
        <v>1865.711</v>
      </c>
      <c r="EV65" s="217">
        <v>1075.433</v>
      </c>
      <c r="EW65" s="217">
        <v>1434.81</v>
      </c>
      <c r="EX65" s="217">
        <v>1443.121</v>
      </c>
      <c r="EY65" s="217">
        <v>1112.737</v>
      </c>
      <c r="EZ65" s="217">
        <v>547.392</v>
      </c>
      <c r="FA65" s="217">
        <v>727.805</v>
      </c>
      <c r="FB65" s="217">
        <v>511.932</v>
      </c>
      <c r="FC65" s="217">
        <v>451</v>
      </c>
      <c r="FD65" s="324">
        <v>930</v>
      </c>
      <c r="FE65" s="219">
        <v>984</v>
      </c>
      <c r="FF65" s="219">
        <v>1629</v>
      </c>
      <c r="FG65" s="219">
        <v>2930</v>
      </c>
      <c r="FH65" s="219">
        <v>2797</v>
      </c>
      <c r="FI65" s="219">
        <v>3886</v>
      </c>
      <c r="FJ65" s="219">
        <v>3882</v>
      </c>
      <c r="FK65" s="219">
        <v>3855</v>
      </c>
      <c r="FL65" s="331">
        <v>3206</v>
      </c>
      <c r="FM65" s="331">
        <v>3354</v>
      </c>
      <c r="FN65" s="331">
        <v>4874</v>
      </c>
      <c r="FO65" s="331">
        <v>2476</v>
      </c>
      <c r="FP65" s="334">
        <v>2818</v>
      </c>
      <c r="FQ65" s="146">
        <v>4505</v>
      </c>
      <c r="FR65" s="146">
        <v>5245</v>
      </c>
      <c r="FS65" s="146">
        <v>4280</v>
      </c>
      <c r="FT65" s="146">
        <v>5556</v>
      </c>
      <c r="FU65" s="146">
        <v>7013</v>
      </c>
      <c r="FV65" s="146">
        <v>6420</v>
      </c>
      <c r="FW65" s="146">
        <v>8300</v>
      </c>
      <c r="FX65" s="146">
        <v>4562</v>
      </c>
      <c r="FY65" s="146">
        <v>6445</v>
      </c>
      <c r="FZ65" s="146">
        <v>5067</v>
      </c>
      <c r="GA65" s="397">
        <v>5311</v>
      </c>
      <c r="GB65" s="433">
        <v>5762</v>
      </c>
      <c r="GC65" s="146">
        <v>4176</v>
      </c>
      <c r="GD65" s="397">
        <v>4904</v>
      </c>
      <c r="GE65" s="219">
        <v>3233</v>
      </c>
      <c r="GF65" s="219">
        <v>4431</v>
      </c>
      <c r="GG65" s="219">
        <v>3724</v>
      </c>
      <c r="GH65" s="219">
        <v>1027</v>
      </c>
      <c r="GI65" s="356">
        <v>1632</v>
      </c>
    </row>
    <row r="66" spans="1:191" s="215" customFormat="1" ht="15" customHeight="1">
      <c r="A66" s="210"/>
      <c r="B66" s="249" t="s">
        <v>59</v>
      </c>
      <c r="C66" s="211"/>
      <c r="D66" s="211">
        <v>595</v>
      </c>
      <c r="E66" s="211">
        <v>351</v>
      </c>
      <c r="F66" s="216">
        <v>1283</v>
      </c>
      <c r="G66" s="216">
        <v>681</v>
      </c>
      <c r="H66" s="216">
        <v>59</v>
      </c>
      <c r="I66" s="216">
        <v>1477</v>
      </c>
      <c r="J66" s="216">
        <v>890</v>
      </c>
      <c r="K66" s="216">
        <v>159</v>
      </c>
      <c r="L66" s="216">
        <v>36</v>
      </c>
      <c r="M66" s="216">
        <v>553</v>
      </c>
      <c r="N66" s="211">
        <v>450</v>
      </c>
      <c r="O66" s="211">
        <v>-185</v>
      </c>
      <c r="P66" s="211">
        <v>1619.919</v>
      </c>
      <c r="Q66" s="211">
        <v>1760.603</v>
      </c>
      <c r="R66" s="211">
        <v>994.318</v>
      </c>
      <c r="S66" s="211">
        <v>337.947</v>
      </c>
      <c r="T66" s="211">
        <v>1013.349</v>
      </c>
      <c r="U66" s="211">
        <v>1491.804</v>
      </c>
      <c r="V66" s="211">
        <v>1872.321</v>
      </c>
      <c r="W66" s="211">
        <v>1315.767</v>
      </c>
      <c r="X66" s="211">
        <v>1450.788</v>
      </c>
      <c r="Y66" s="231">
        <v>1453.667</v>
      </c>
      <c r="Z66" s="231">
        <v>1430.284</v>
      </c>
      <c r="AA66" s="231">
        <v>1348.22</v>
      </c>
      <c r="AB66" s="231">
        <v>1541.503</v>
      </c>
      <c r="AC66" s="231">
        <v>698.819</v>
      </c>
      <c r="AD66" s="231">
        <v>553.813</v>
      </c>
      <c r="AE66" s="231">
        <v>615.145</v>
      </c>
      <c r="AF66" s="231">
        <v>616.631</v>
      </c>
      <c r="AG66" s="231">
        <v>637.448</v>
      </c>
      <c r="AH66" s="231">
        <v>648.366</v>
      </c>
      <c r="AI66" s="232">
        <v>800.377</v>
      </c>
      <c r="AJ66" s="232">
        <v>733.654</v>
      </c>
      <c r="AK66" s="232">
        <v>714.281</v>
      </c>
      <c r="AL66" s="218">
        <v>785.321</v>
      </c>
      <c r="AM66" s="218">
        <v>529.477</v>
      </c>
      <c r="AN66" s="218">
        <v>514.357</v>
      </c>
      <c r="AO66" s="218">
        <v>518.971</v>
      </c>
      <c r="AP66" s="231">
        <v>1114.09</v>
      </c>
      <c r="AQ66" s="231">
        <v>1628.746</v>
      </c>
      <c r="AR66" s="231">
        <v>1703.053</v>
      </c>
      <c r="AS66" s="231">
        <v>2619.997</v>
      </c>
      <c r="AT66" s="231">
        <v>2318.83</v>
      </c>
      <c r="AU66" s="231">
        <v>2382.512</v>
      </c>
      <c r="AV66" s="231">
        <v>2247.012</v>
      </c>
      <c r="AW66" s="231">
        <v>2532.47</v>
      </c>
      <c r="AX66" s="231">
        <v>2831.988</v>
      </c>
      <c r="AY66" s="231">
        <v>3540.465</v>
      </c>
      <c r="AZ66" s="232">
        <v>4623.787</v>
      </c>
      <c r="BA66" s="232">
        <v>4853.183</v>
      </c>
      <c r="BB66" s="232">
        <v>5014.565</v>
      </c>
      <c r="BC66" s="232">
        <v>5033.128</v>
      </c>
      <c r="BD66" s="232">
        <v>5434.862</v>
      </c>
      <c r="BE66" s="231">
        <v>5691.848</v>
      </c>
      <c r="BF66" s="231">
        <v>5248.416</v>
      </c>
      <c r="BG66" s="231">
        <v>5195.479</v>
      </c>
      <c r="BH66" s="231">
        <v>5144.539</v>
      </c>
      <c r="BI66" s="232">
        <v>5111.724</v>
      </c>
      <c r="BJ66" s="232">
        <v>5031.557</v>
      </c>
      <c r="BK66" s="232">
        <v>4914.596</v>
      </c>
      <c r="BL66" s="217">
        <v>4867.243</v>
      </c>
      <c r="BM66" s="217">
        <v>2523.404</v>
      </c>
      <c r="BN66" s="217">
        <v>773.108</v>
      </c>
      <c r="BO66" s="217">
        <v>754.452</v>
      </c>
      <c r="BP66" s="217">
        <v>963.917</v>
      </c>
      <c r="BQ66" s="217">
        <v>922.931</v>
      </c>
      <c r="BR66" s="218">
        <v>757.255</v>
      </c>
      <c r="BS66" s="218">
        <v>1086.49</v>
      </c>
      <c r="BT66" s="218">
        <v>492.759</v>
      </c>
      <c r="BU66" s="218">
        <v>209.115</v>
      </c>
      <c r="BV66" s="218">
        <v>191.275</v>
      </c>
      <c r="BW66" s="218">
        <v>125.549</v>
      </c>
      <c r="BX66" s="218">
        <v>639.229</v>
      </c>
      <c r="BY66" s="218">
        <v>597.834</v>
      </c>
      <c r="BZ66" s="218">
        <v>743.532</v>
      </c>
      <c r="CA66" s="217">
        <v>1478.217</v>
      </c>
      <c r="CB66" s="217">
        <v>2173.268</v>
      </c>
      <c r="CC66" s="217">
        <v>2141.105</v>
      </c>
      <c r="CD66" s="217">
        <v>876.071</v>
      </c>
      <c r="CE66" s="217">
        <v>528.483</v>
      </c>
      <c r="CF66" s="217">
        <v>886.759</v>
      </c>
      <c r="CG66" s="217">
        <v>1748.082</v>
      </c>
      <c r="CH66" s="217">
        <v>1717.259</v>
      </c>
      <c r="CI66" s="217">
        <v>539.799</v>
      </c>
      <c r="CJ66" s="217">
        <v>466.738</v>
      </c>
      <c r="CK66" s="217">
        <v>455.014</v>
      </c>
      <c r="CL66" s="217">
        <v>793.355</v>
      </c>
      <c r="CM66" s="217">
        <v>453.059</v>
      </c>
      <c r="CN66" s="217">
        <v>79.606</v>
      </c>
      <c r="CO66" s="218">
        <v>726.627</v>
      </c>
      <c r="CP66" s="218">
        <v>374.538</v>
      </c>
      <c r="CQ66" s="218">
        <v>741.591</v>
      </c>
      <c r="CR66" s="218">
        <v>754.057</v>
      </c>
      <c r="CS66" s="218">
        <v>639.202</v>
      </c>
      <c r="CT66" s="218">
        <v>635.312</v>
      </c>
      <c r="CU66" s="218">
        <v>384.75</v>
      </c>
      <c r="CV66" s="218">
        <v>388.345</v>
      </c>
      <c r="CW66" s="218">
        <v>434.078</v>
      </c>
      <c r="CX66" s="218">
        <v>284.29</v>
      </c>
      <c r="CY66" s="218">
        <v>458.501</v>
      </c>
      <c r="CZ66" s="218">
        <v>167.853</v>
      </c>
      <c r="DA66" s="218">
        <v>974.081</v>
      </c>
      <c r="DB66" s="218">
        <v>658.955</v>
      </c>
      <c r="DC66" s="218">
        <v>142.021</v>
      </c>
      <c r="DD66" s="218">
        <v>48.02</v>
      </c>
      <c r="DE66" s="218">
        <v>220.896</v>
      </c>
      <c r="DF66" s="218">
        <v>159.928</v>
      </c>
      <c r="DG66" s="218">
        <v>1248.712</v>
      </c>
      <c r="DH66" s="218">
        <v>125.65</v>
      </c>
      <c r="DI66" s="218">
        <v>8.842</v>
      </c>
      <c r="DJ66" s="217">
        <v>87.921</v>
      </c>
      <c r="DK66" s="217">
        <v>580.223</v>
      </c>
      <c r="DL66" s="232">
        <v>272.147</v>
      </c>
      <c r="DM66" s="232">
        <v>60.118</v>
      </c>
      <c r="DN66" s="232">
        <v>122.411</v>
      </c>
      <c r="DO66" s="232">
        <v>187.53</v>
      </c>
      <c r="DP66" s="232">
        <v>404.972</v>
      </c>
      <c r="DQ66" s="232">
        <v>448.364</v>
      </c>
      <c r="DR66" s="232">
        <v>362.591</v>
      </c>
      <c r="DS66" s="217">
        <v>109.31</v>
      </c>
      <c r="DT66" s="285">
        <v>4.291</v>
      </c>
      <c r="DU66" s="214">
        <v>41.41</v>
      </c>
      <c r="DV66" s="214">
        <v>101.241</v>
      </c>
      <c r="DW66" s="214">
        <v>89.163</v>
      </c>
      <c r="DX66" s="214">
        <v>10065.143</v>
      </c>
      <c r="DY66" s="214">
        <v>8990.403</v>
      </c>
      <c r="DZ66" s="231">
        <v>4497.27</v>
      </c>
      <c r="EA66" s="231">
        <v>7062.119</v>
      </c>
      <c r="EB66" s="231">
        <v>7346.865</v>
      </c>
      <c r="EC66" s="231">
        <v>6599.51</v>
      </c>
      <c r="ED66" s="231">
        <v>6909.22</v>
      </c>
      <c r="EE66" s="231">
        <v>867.073</v>
      </c>
      <c r="EF66" s="277">
        <v>6160.007</v>
      </c>
      <c r="EG66" s="277">
        <v>6279.263</v>
      </c>
      <c r="EH66" s="277">
        <v>8071.478</v>
      </c>
      <c r="EI66" s="277">
        <v>7784.371</v>
      </c>
      <c r="EJ66" s="277">
        <v>5432.886</v>
      </c>
      <c r="EK66" s="277">
        <v>5136.136</v>
      </c>
      <c r="EL66" s="277">
        <v>4831.389</v>
      </c>
      <c r="EM66" s="277">
        <v>5637.082</v>
      </c>
      <c r="EN66" s="277">
        <v>6072.874</v>
      </c>
      <c r="EO66" s="277">
        <v>6519.39</v>
      </c>
      <c r="EP66" s="277">
        <v>3974.099</v>
      </c>
      <c r="EQ66" s="277">
        <v>4231.841</v>
      </c>
      <c r="ER66" s="277">
        <v>4088.79</v>
      </c>
      <c r="ES66" s="217">
        <v>3900.311</v>
      </c>
      <c r="ET66" s="217">
        <v>3396.703</v>
      </c>
      <c r="EU66" s="217">
        <v>2275.8</v>
      </c>
      <c r="EV66" s="217">
        <v>2519.523</v>
      </c>
      <c r="EW66" s="217">
        <v>2472.818</v>
      </c>
      <c r="EX66" s="217">
        <v>2970.037</v>
      </c>
      <c r="EY66" s="217">
        <v>3024.451</v>
      </c>
      <c r="EZ66" s="217">
        <v>2434.748</v>
      </c>
      <c r="FA66" s="217">
        <v>2353.432</v>
      </c>
      <c r="FB66" s="217">
        <v>2046.242</v>
      </c>
      <c r="FC66" s="217">
        <v>3504</v>
      </c>
      <c r="FD66" s="324">
        <v>3183</v>
      </c>
      <c r="FE66" s="219">
        <v>4603</v>
      </c>
      <c r="FF66" s="219">
        <v>4671</v>
      </c>
      <c r="FG66" s="219">
        <v>5364</v>
      </c>
      <c r="FH66" s="219">
        <v>4690</v>
      </c>
      <c r="FI66" s="219">
        <v>3523</v>
      </c>
      <c r="FJ66" s="219">
        <v>2724</v>
      </c>
      <c r="FK66" s="219">
        <v>4192</v>
      </c>
      <c r="FL66" s="331">
        <v>4748</v>
      </c>
      <c r="FM66" s="331">
        <v>5465</v>
      </c>
      <c r="FN66" s="331">
        <v>4518</v>
      </c>
      <c r="FO66" s="331">
        <v>4625</v>
      </c>
      <c r="FP66" s="334">
        <v>6446</v>
      </c>
      <c r="FQ66" s="146">
        <v>6607</v>
      </c>
      <c r="FR66" s="146">
        <v>8074</v>
      </c>
      <c r="FS66" s="146">
        <v>10546</v>
      </c>
      <c r="FT66" s="146">
        <v>9558</v>
      </c>
      <c r="FU66" s="146">
        <v>9304</v>
      </c>
      <c r="FV66" s="146">
        <v>10308</v>
      </c>
      <c r="FW66" s="146">
        <v>9170</v>
      </c>
      <c r="FX66" s="146">
        <v>10820</v>
      </c>
      <c r="FY66" s="146">
        <v>11585</v>
      </c>
      <c r="FZ66" s="146">
        <v>14337</v>
      </c>
      <c r="GA66" s="397">
        <v>14957</v>
      </c>
      <c r="GB66" s="433">
        <v>13442</v>
      </c>
      <c r="GC66" s="146">
        <v>16140</v>
      </c>
      <c r="GD66" s="397">
        <v>15268</v>
      </c>
      <c r="GE66" s="219">
        <v>15111</v>
      </c>
      <c r="GF66" s="219">
        <v>13515</v>
      </c>
      <c r="GG66" s="219">
        <v>16152</v>
      </c>
      <c r="GH66" s="219">
        <v>17283</v>
      </c>
      <c r="GI66" s="356">
        <v>14024</v>
      </c>
    </row>
    <row r="67" spans="1:191" ht="15" customHeight="1">
      <c r="A67" s="6"/>
      <c r="B67" s="117" t="s">
        <v>122</v>
      </c>
      <c r="C67" s="80">
        <f aca="true" t="shared" si="84" ref="C67:H67">C68-C69</f>
        <v>0</v>
      </c>
      <c r="D67" s="80">
        <f t="shared" si="84"/>
        <v>0</v>
      </c>
      <c r="E67" s="80">
        <f t="shared" si="84"/>
        <v>-50</v>
      </c>
      <c r="F67" s="80">
        <f t="shared" si="84"/>
        <v>-172</v>
      </c>
      <c r="G67" s="80">
        <f t="shared" si="84"/>
        <v>-197</v>
      </c>
      <c r="H67" s="80">
        <f t="shared" si="84"/>
        <v>-183</v>
      </c>
      <c r="I67" s="67">
        <f>I68-I69</f>
        <v>-122.6</v>
      </c>
      <c r="J67" s="67">
        <f>J68-J69</f>
        <v>-224.6</v>
      </c>
      <c r="K67" s="67">
        <f>K68-K69</f>
        <v>-510.7</v>
      </c>
      <c r="L67" s="67">
        <v>0.2</v>
      </c>
      <c r="M67" s="67">
        <v>0.2</v>
      </c>
      <c r="N67" s="80">
        <v>0</v>
      </c>
      <c r="O67" s="80">
        <f>O68-O69</f>
        <v>-1894</v>
      </c>
      <c r="P67" s="80">
        <f aca="true" t="shared" si="85" ref="P67:CA67">P68-P69</f>
        <v>-1667</v>
      </c>
      <c r="Q67" s="80">
        <f t="shared" si="85"/>
        <v>-1411</v>
      </c>
      <c r="R67" s="80">
        <f t="shared" si="85"/>
        <v>-1423</v>
      </c>
      <c r="S67" s="80">
        <f t="shared" si="85"/>
        <v>-1463</v>
      </c>
      <c r="T67" s="80">
        <f t="shared" si="85"/>
        <v>-1389</v>
      </c>
      <c r="U67" s="80">
        <f t="shared" si="85"/>
        <v>-1621</v>
      </c>
      <c r="V67" s="80">
        <f t="shared" si="85"/>
        <v>-2356</v>
      </c>
      <c r="W67" s="80">
        <f t="shared" si="85"/>
        <v>-2639</v>
      </c>
      <c r="X67" s="80">
        <f t="shared" si="85"/>
        <v>-2172</v>
      </c>
      <c r="Y67" s="80">
        <f t="shared" si="85"/>
        <v>-2515</v>
      </c>
      <c r="Z67" s="80">
        <f t="shared" si="85"/>
        <v>-2788</v>
      </c>
      <c r="AA67" s="80">
        <f t="shared" si="85"/>
        <v>-2844</v>
      </c>
      <c r="AB67" s="80">
        <f t="shared" si="85"/>
        <v>-3554</v>
      </c>
      <c r="AC67" s="80">
        <f t="shared" si="85"/>
        <v>-3603</v>
      </c>
      <c r="AD67" s="80">
        <f t="shared" si="85"/>
        <v>-3753</v>
      </c>
      <c r="AE67" s="80">
        <f t="shared" si="85"/>
        <v>-4229</v>
      </c>
      <c r="AF67" s="80">
        <f t="shared" si="85"/>
        <v>-3324</v>
      </c>
      <c r="AG67" s="80">
        <f t="shared" si="85"/>
        <v>-3615</v>
      </c>
      <c r="AH67" s="80">
        <f t="shared" si="85"/>
        <v>-4201</v>
      </c>
      <c r="AI67" s="80">
        <f t="shared" si="85"/>
        <v>-4416</v>
      </c>
      <c r="AJ67" s="80">
        <f t="shared" si="85"/>
        <v>-4666</v>
      </c>
      <c r="AK67" s="80">
        <f t="shared" si="85"/>
        <v>-4903</v>
      </c>
      <c r="AL67" s="80">
        <f t="shared" si="85"/>
        <v>-5298</v>
      </c>
      <c r="AM67" s="80">
        <f>AM68-AM69</f>
        <v>-7277</v>
      </c>
      <c r="AN67" s="80">
        <f t="shared" si="85"/>
        <v>-7612</v>
      </c>
      <c r="AO67" s="80">
        <f t="shared" si="85"/>
        <v>-7337</v>
      </c>
      <c r="AP67" s="80">
        <f t="shared" si="85"/>
        <v>-7155</v>
      </c>
      <c r="AQ67" s="80">
        <f t="shared" si="85"/>
        <v>-7511</v>
      </c>
      <c r="AR67" s="67">
        <f t="shared" si="85"/>
        <v>-8337</v>
      </c>
      <c r="AS67" s="67">
        <f t="shared" si="85"/>
        <v>-8727</v>
      </c>
      <c r="AT67" s="67">
        <f t="shared" si="85"/>
        <v>-10792</v>
      </c>
      <c r="AU67" s="67">
        <f t="shared" si="85"/>
        <v>-11320</v>
      </c>
      <c r="AV67" s="67">
        <f t="shared" si="85"/>
        <v>-6112</v>
      </c>
      <c r="AW67" s="68">
        <f t="shared" si="85"/>
        <v>-6596</v>
      </c>
      <c r="AX67" s="68">
        <f t="shared" si="85"/>
        <v>-6375</v>
      </c>
      <c r="AY67" s="68">
        <f t="shared" si="85"/>
        <v>-8248</v>
      </c>
      <c r="AZ67" s="68">
        <f>AZ68-AZ69</f>
        <v>-7373</v>
      </c>
      <c r="BA67" s="68">
        <f>BA68-BA69</f>
        <v>-4448</v>
      </c>
      <c r="BB67" s="68">
        <f t="shared" si="85"/>
        <v>-4911</v>
      </c>
      <c r="BC67" s="68">
        <f t="shared" si="85"/>
        <v>-7250</v>
      </c>
      <c r="BD67" s="68">
        <f t="shared" si="85"/>
        <v>-6297</v>
      </c>
      <c r="BE67" s="68">
        <f t="shared" si="85"/>
        <v>-7231</v>
      </c>
      <c r="BF67" s="68">
        <f t="shared" si="85"/>
        <v>-5673</v>
      </c>
      <c r="BG67" s="68">
        <f t="shared" si="85"/>
        <v>-6346</v>
      </c>
      <c r="BH67" s="68">
        <f t="shared" si="85"/>
        <v>-8866</v>
      </c>
      <c r="BI67" s="68">
        <f t="shared" si="85"/>
        <v>-7985</v>
      </c>
      <c r="BJ67" s="68">
        <f t="shared" si="85"/>
        <v>-6967</v>
      </c>
      <c r="BK67" s="68">
        <f t="shared" si="85"/>
        <v>-6871</v>
      </c>
      <c r="BL67" s="68">
        <f t="shared" si="85"/>
        <v>-7317</v>
      </c>
      <c r="BM67" s="68">
        <f t="shared" si="85"/>
        <v>-7240</v>
      </c>
      <c r="BN67" s="68">
        <f t="shared" si="85"/>
        <v>-6864</v>
      </c>
      <c r="BO67" s="68">
        <f t="shared" si="85"/>
        <v>-6896</v>
      </c>
      <c r="BP67" s="68">
        <f t="shared" si="85"/>
        <v>-6678</v>
      </c>
      <c r="BQ67" s="68">
        <f t="shared" si="85"/>
        <v>-6809</v>
      </c>
      <c r="BR67" s="68">
        <f t="shared" si="85"/>
        <v>-5884</v>
      </c>
      <c r="BS67" s="68">
        <f t="shared" si="85"/>
        <v>-5820</v>
      </c>
      <c r="BT67" s="68">
        <f t="shared" si="85"/>
        <v>-5995</v>
      </c>
      <c r="BU67" s="68">
        <f t="shared" si="85"/>
        <v>-5921</v>
      </c>
      <c r="BV67" s="68">
        <f t="shared" si="85"/>
        <v>-6061</v>
      </c>
      <c r="BW67" s="68">
        <f t="shared" si="85"/>
        <v>-5570</v>
      </c>
      <c r="BX67" s="68">
        <f t="shared" si="85"/>
        <v>-7011</v>
      </c>
      <c r="BY67" s="68">
        <f t="shared" si="85"/>
        <v>-7312</v>
      </c>
      <c r="BZ67" s="68">
        <f t="shared" si="85"/>
        <v>-7171</v>
      </c>
      <c r="CA67" s="68">
        <f t="shared" si="85"/>
        <v>-6449</v>
      </c>
      <c r="CB67" s="68">
        <f aca="true" t="shared" si="86" ref="CB67:CS67">CB68-CB69</f>
        <v>-6167</v>
      </c>
      <c r="CC67" s="68">
        <f t="shared" si="86"/>
        <v>-4349</v>
      </c>
      <c r="CD67" s="68">
        <f t="shared" si="86"/>
        <v>-5061</v>
      </c>
      <c r="CE67" s="68">
        <f t="shared" si="86"/>
        <v>-5115</v>
      </c>
      <c r="CF67" s="68">
        <f t="shared" si="86"/>
        <v>-5157</v>
      </c>
      <c r="CG67" s="68">
        <f t="shared" si="86"/>
        <v>-4891</v>
      </c>
      <c r="CH67" s="68">
        <f t="shared" si="86"/>
        <v>-4732</v>
      </c>
      <c r="CI67" s="68">
        <f t="shared" si="86"/>
        <v>-4476</v>
      </c>
      <c r="CJ67" s="68">
        <f t="shared" si="86"/>
        <v>-4647</v>
      </c>
      <c r="CK67" s="68">
        <f t="shared" si="86"/>
        <v>-5245</v>
      </c>
      <c r="CL67" s="68">
        <f t="shared" si="86"/>
        <v>-5874</v>
      </c>
      <c r="CM67" s="68">
        <f t="shared" si="86"/>
        <v>-5016</v>
      </c>
      <c r="CN67" s="68">
        <f t="shared" si="86"/>
        <v>-5097</v>
      </c>
      <c r="CO67" s="68">
        <f t="shared" si="86"/>
        <v>-4637</v>
      </c>
      <c r="CP67" s="68">
        <f t="shared" si="86"/>
        <v>-4644</v>
      </c>
      <c r="CQ67" s="68">
        <f t="shared" si="86"/>
        <v>-5093</v>
      </c>
      <c r="CR67" s="68">
        <f t="shared" si="86"/>
        <v>-5009</v>
      </c>
      <c r="CS67" s="68">
        <f t="shared" si="86"/>
        <v>-6021</v>
      </c>
      <c r="CT67" s="68">
        <f aca="true" t="shared" si="87" ref="CT67:CZ67">CT68-CT69</f>
        <v>-6103</v>
      </c>
      <c r="CU67" s="68">
        <f t="shared" si="87"/>
        <v>-6299</v>
      </c>
      <c r="CV67" s="68">
        <f t="shared" si="87"/>
        <v>-5874</v>
      </c>
      <c r="CW67" s="68">
        <f t="shared" si="87"/>
        <v>-6321</v>
      </c>
      <c r="CX67" s="68">
        <f t="shared" si="87"/>
        <v>-7101</v>
      </c>
      <c r="CY67" s="68">
        <f t="shared" si="87"/>
        <v>-7213</v>
      </c>
      <c r="CZ67" s="68">
        <f t="shared" si="87"/>
        <v>-7083</v>
      </c>
      <c r="DA67" s="68">
        <f aca="true" t="shared" si="88" ref="DA67:DH67">DA68-DA69</f>
        <v>-7160</v>
      </c>
      <c r="DB67" s="68">
        <f t="shared" si="88"/>
        <v>-6631</v>
      </c>
      <c r="DC67" s="68">
        <f t="shared" si="88"/>
        <v>-7333</v>
      </c>
      <c r="DD67" s="85">
        <f t="shared" si="88"/>
        <v>-6843</v>
      </c>
      <c r="DE67" s="85">
        <f t="shared" si="88"/>
        <v>-6378</v>
      </c>
      <c r="DF67" s="85">
        <f t="shared" si="88"/>
        <v>-7080</v>
      </c>
      <c r="DG67" s="85">
        <f t="shared" si="88"/>
        <v>-7302</v>
      </c>
      <c r="DH67" s="85">
        <f t="shared" si="88"/>
        <v>-8530</v>
      </c>
      <c r="DI67" s="85">
        <f aca="true" t="shared" si="89" ref="DI67:DS67">DI68-DI69</f>
        <v>-9012</v>
      </c>
      <c r="DJ67" s="85">
        <f t="shared" si="89"/>
        <v>-8921</v>
      </c>
      <c r="DK67" s="85">
        <f t="shared" si="89"/>
        <v>-8578</v>
      </c>
      <c r="DL67" s="85">
        <f t="shared" si="89"/>
        <v>-9550</v>
      </c>
      <c r="DM67" s="85">
        <f t="shared" si="89"/>
        <v>-8668</v>
      </c>
      <c r="DN67" s="85">
        <f t="shared" si="89"/>
        <v>-8985</v>
      </c>
      <c r="DO67" s="85">
        <f t="shared" si="89"/>
        <v>-8612</v>
      </c>
      <c r="DP67" s="85">
        <f t="shared" si="89"/>
        <v>-8693</v>
      </c>
      <c r="DQ67" s="85">
        <f t="shared" si="89"/>
        <v>-8363</v>
      </c>
      <c r="DR67" s="85">
        <f t="shared" si="89"/>
        <v>-8688</v>
      </c>
      <c r="DS67" s="85">
        <f t="shared" si="89"/>
        <v>-9604</v>
      </c>
      <c r="DT67" s="86">
        <f aca="true" t="shared" si="90" ref="DT67:DY67">DT68-DT69</f>
        <v>-10703</v>
      </c>
      <c r="DU67" s="84">
        <f t="shared" si="90"/>
        <v>-9478</v>
      </c>
      <c r="DV67" s="84">
        <f t="shared" si="90"/>
        <v>-8482</v>
      </c>
      <c r="DW67" s="84">
        <f t="shared" si="90"/>
        <v>-8471</v>
      </c>
      <c r="DX67" s="84">
        <f t="shared" si="90"/>
        <v>-6617</v>
      </c>
      <c r="DY67" s="84">
        <f t="shared" si="90"/>
        <v>-8824</v>
      </c>
      <c r="DZ67" s="84">
        <f aca="true" t="shared" si="91" ref="DZ67:EF67">DZ68-DZ69</f>
        <v>-5666</v>
      </c>
      <c r="EA67" s="84">
        <f t="shared" si="91"/>
        <v>-4944</v>
      </c>
      <c r="EB67" s="84">
        <f t="shared" si="91"/>
        <v>-5161</v>
      </c>
      <c r="EC67" s="84">
        <f t="shared" si="91"/>
        <v>-5299</v>
      </c>
      <c r="ED67" s="84">
        <f t="shared" si="91"/>
        <v>-5606</v>
      </c>
      <c r="EE67" s="68">
        <f t="shared" si="91"/>
        <v>-5759</v>
      </c>
      <c r="EF67" s="68">
        <f t="shared" si="91"/>
        <v>-6053</v>
      </c>
      <c r="EG67" s="68">
        <f aca="true" t="shared" si="92" ref="EG67:EL67">EG68-EG69</f>
        <v>-6760</v>
      </c>
      <c r="EH67" s="271">
        <f t="shared" si="92"/>
        <v>-7772</v>
      </c>
      <c r="EI67" s="271">
        <f t="shared" si="92"/>
        <v>-7490</v>
      </c>
      <c r="EJ67" s="271">
        <f>EJ68-EJ69</f>
        <v>-7447</v>
      </c>
      <c r="EK67" s="271">
        <f>EK68-EK69</f>
        <v>-7445</v>
      </c>
      <c r="EL67" s="271">
        <f t="shared" si="92"/>
        <v>-7081</v>
      </c>
      <c r="EM67" s="271">
        <f aca="true" t="shared" si="93" ref="EM67:EU67">EM68-EM69</f>
        <v>-6112</v>
      </c>
      <c r="EN67" s="271">
        <f t="shared" si="93"/>
        <v>-6503</v>
      </c>
      <c r="EO67" s="271">
        <f t="shared" si="93"/>
        <v>-6199</v>
      </c>
      <c r="EP67" s="271">
        <f t="shared" si="93"/>
        <v>-5980</v>
      </c>
      <c r="EQ67" s="271">
        <f t="shared" si="93"/>
        <v>-5671</v>
      </c>
      <c r="ER67" s="78">
        <f t="shared" si="93"/>
        <v>-5612</v>
      </c>
      <c r="ES67" s="78">
        <f t="shared" si="93"/>
        <v>-5454</v>
      </c>
      <c r="ET67" s="78">
        <f t="shared" si="93"/>
        <v>-5377</v>
      </c>
      <c r="EU67" s="78">
        <f t="shared" si="93"/>
        <v>-4979</v>
      </c>
      <c r="EV67" s="78">
        <f aca="true" t="shared" si="94" ref="EV67:FA67">EV68-EV69</f>
        <v>-5288</v>
      </c>
      <c r="EW67" s="78">
        <f t="shared" si="94"/>
        <v>-5063</v>
      </c>
      <c r="EX67" s="78">
        <f t="shared" si="94"/>
        <v>-4603</v>
      </c>
      <c r="EY67" s="78">
        <f t="shared" si="94"/>
        <v>-6228</v>
      </c>
      <c r="EZ67" s="78">
        <f t="shared" si="94"/>
        <v>-6239</v>
      </c>
      <c r="FA67" s="78">
        <f t="shared" si="94"/>
        <v>-5927</v>
      </c>
      <c r="FB67" s="78">
        <f aca="true" t="shared" si="95" ref="FB67:FO67">FB68-FB69</f>
        <v>-6192</v>
      </c>
      <c r="FC67" s="78">
        <f t="shared" si="95"/>
        <v>-5893</v>
      </c>
      <c r="FD67" s="312">
        <f t="shared" si="95"/>
        <v>-5248</v>
      </c>
      <c r="FE67" s="90">
        <f t="shared" si="95"/>
        <v>-5332</v>
      </c>
      <c r="FF67" s="90">
        <f t="shared" si="95"/>
        <v>-4967</v>
      </c>
      <c r="FG67" s="90">
        <f t="shared" si="95"/>
        <v>-5040</v>
      </c>
      <c r="FH67" s="90">
        <f t="shared" si="95"/>
        <v>-5502</v>
      </c>
      <c r="FI67" s="90">
        <f t="shared" si="95"/>
        <v>-5500</v>
      </c>
      <c r="FJ67" s="90">
        <f t="shared" si="95"/>
        <v>-5763</v>
      </c>
      <c r="FK67" s="90">
        <f t="shared" si="95"/>
        <v>-5814</v>
      </c>
      <c r="FL67" s="90">
        <f t="shared" si="95"/>
        <v>-5837</v>
      </c>
      <c r="FM67" s="90">
        <f>FM68-FM69</f>
        <v>-6095</v>
      </c>
      <c r="FN67" s="90">
        <f t="shared" si="95"/>
        <v>-5525</v>
      </c>
      <c r="FO67" s="157">
        <f t="shared" si="95"/>
        <v>-4885</v>
      </c>
      <c r="FP67" s="312">
        <f aca="true" t="shared" si="96" ref="FP67:FV67">FP68-FP69</f>
        <v>-4841</v>
      </c>
      <c r="FQ67" s="90">
        <f t="shared" si="96"/>
        <v>-5163</v>
      </c>
      <c r="FR67" s="90">
        <f t="shared" si="96"/>
        <v>-5112</v>
      </c>
      <c r="FS67" s="90">
        <f t="shared" si="96"/>
        <v>-5012</v>
      </c>
      <c r="FT67" s="90">
        <f t="shared" si="96"/>
        <v>-4765</v>
      </c>
      <c r="FU67" s="90">
        <f t="shared" si="96"/>
        <v>-4683</v>
      </c>
      <c r="FV67" s="90">
        <f t="shared" si="96"/>
        <v>-5318</v>
      </c>
      <c r="FW67" s="90">
        <f aca="true" t="shared" si="97" ref="FW67:GB67">FW68-FW69</f>
        <v>-5328</v>
      </c>
      <c r="FX67" s="90">
        <f t="shared" si="97"/>
        <v>-6009</v>
      </c>
      <c r="FY67" s="90">
        <f t="shared" si="97"/>
        <v>-5554</v>
      </c>
      <c r="FZ67" s="90">
        <f t="shared" si="97"/>
        <v>-4282</v>
      </c>
      <c r="GA67" s="157">
        <f t="shared" si="97"/>
        <v>-4495</v>
      </c>
      <c r="GB67" s="312">
        <f t="shared" si="97"/>
        <v>-4728</v>
      </c>
      <c r="GC67" s="90">
        <f aca="true" t="shared" si="98" ref="GC67:GI67">GC68-GC69</f>
        <v>-4868</v>
      </c>
      <c r="GD67" s="157">
        <f t="shared" si="98"/>
        <v>-4563</v>
      </c>
      <c r="GE67" s="90">
        <f t="shared" si="98"/>
        <v>-4755</v>
      </c>
      <c r="GF67" s="90">
        <f t="shared" si="98"/>
        <v>-4590</v>
      </c>
      <c r="GG67" s="90">
        <f t="shared" si="98"/>
        <v>-4527</v>
      </c>
      <c r="GH67" s="90">
        <f t="shared" si="98"/>
        <v>-4486</v>
      </c>
      <c r="GI67" s="157">
        <f t="shared" si="98"/>
        <v>-4528</v>
      </c>
    </row>
    <row r="68" spans="1:191" ht="15" customHeight="1">
      <c r="A68" s="6"/>
      <c r="B68" s="117" t="s">
        <v>56</v>
      </c>
      <c r="C68" s="80"/>
      <c r="D68" s="80"/>
      <c r="E68" s="80"/>
      <c r="F68" s="67"/>
      <c r="G68" s="67"/>
      <c r="H68" s="67"/>
      <c r="I68" s="67">
        <v>0.4</v>
      </c>
      <c r="J68" s="67">
        <v>0.4</v>
      </c>
      <c r="K68" s="67">
        <v>0.3</v>
      </c>
      <c r="L68" s="67">
        <v>0.2</v>
      </c>
      <c r="M68" s="67">
        <v>0.2</v>
      </c>
      <c r="N68" s="80">
        <v>0</v>
      </c>
      <c r="O68" s="80"/>
      <c r="P68" s="80">
        <v>9</v>
      </c>
      <c r="Q68" s="80">
        <v>9</v>
      </c>
      <c r="R68" s="80">
        <v>10</v>
      </c>
      <c r="S68" s="80">
        <v>9</v>
      </c>
      <c r="T68" s="80">
        <v>28</v>
      </c>
      <c r="U68" s="80">
        <v>28</v>
      </c>
      <c r="V68" s="80">
        <v>34</v>
      </c>
      <c r="W68" s="80">
        <v>33</v>
      </c>
      <c r="X68" s="80">
        <v>34</v>
      </c>
      <c r="Y68" s="79">
        <v>36</v>
      </c>
      <c r="Z68" s="79">
        <v>37</v>
      </c>
      <c r="AA68" s="79">
        <v>20</v>
      </c>
      <c r="AB68" s="79">
        <v>10</v>
      </c>
      <c r="AC68" s="79">
        <v>10</v>
      </c>
      <c r="AD68" s="79">
        <v>10</v>
      </c>
      <c r="AE68" s="79">
        <v>10</v>
      </c>
      <c r="AF68" s="79">
        <v>10</v>
      </c>
      <c r="AG68" s="79">
        <v>10</v>
      </c>
      <c r="AH68" s="79">
        <v>10</v>
      </c>
      <c r="AI68" s="79">
        <v>10</v>
      </c>
      <c r="AJ68" s="79">
        <v>11</v>
      </c>
      <c r="AK68" s="79">
        <v>11</v>
      </c>
      <c r="AL68" s="79">
        <v>11</v>
      </c>
      <c r="AM68" s="79">
        <v>11</v>
      </c>
      <c r="AN68" s="79">
        <v>11</v>
      </c>
      <c r="AO68" s="79">
        <v>11</v>
      </c>
      <c r="AP68" s="79">
        <v>12</v>
      </c>
      <c r="AQ68" s="79">
        <v>12</v>
      </c>
      <c r="AR68" s="79">
        <v>12</v>
      </c>
      <c r="AS68" s="79">
        <v>12</v>
      </c>
      <c r="AT68" s="79">
        <v>12</v>
      </c>
      <c r="AU68" s="79">
        <v>12</v>
      </c>
      <c r="AV68" s="79">
        <v>12</v>
      </c>
      <c r="AW68" s="79">
        <v>12</v>
      </c>
      <c r="AX68" s="79">
        <v>12</v>
      </c>
      <c r="AY68" s="150">
        <v>0</v>
      </c>
      <c r="AZ68" s="150">
        <v>0</v>
      </c>
      <c r="BA68" s="150">
        <v>0</v>
      </c>
      <c r="BB68" s="151">
        <v>0</v>
      </c>
      <c r="BC68" s="151">
        <v>0</v>
      </c>
      <c r="BD68" s="151">
        <v>0</v>
      </c>
      <c r="BE68" s="151">
        <v>0</v>
      </c>
      <c r="BF68" s="151">
        <v>0</v>
      </c>
      <c r="BG68" s="151">
        <v>0</v>
      </c>
      <c r="BH68" s="151">
        <v>0</v>
      </c>
      <c r="BI68" s="151">
        <v>0</v>
      </c>
      <c r="BJ68" s="151">
        <v>0</v>
      </c>
      <c r="BK68" s="151">
        <v>0</v>
      </c>
      <c r="BL68" s="151">
        <v>0</v>
      </c>
      <c r="BM68" s="151">
        <v>0</v>
      </c>
      <c r="BN68" s="151">
        <v>0</v>
      </c>
      <c r="BO68" s="151">
        <v>0</v>
      </c>
      <c r="BP68" s="151">
        <v>0</v>
      </c>
      <c r="BQ68" s="151">
        <v>0</v>
      </c>
      <c r="BR68" s="151">
        <v>0</v>
      </c>
      <c r="BS68" s="151">
        <v>0</v>
      </c>
      <c r="BT68" s="151">
        <v>0</v>
      </c>
      <c r="BU68" s="151">
        <v>0</v>
      </c>
      <c r="BV68" s="151">
        <v>0</v>
      </c>
      <c r="BW68" s="151">
        <v>0</v>
      </c>
      <c r="BX68" s="151">
        <v>0</v>
      </c>
      <c r="BY68" s="151">
        <v>0</v>
      </c>
      <c r="BZ68" s="151">
        <v>0</v>
      </c>
      <c r="CA68" s="79">
        <v>0</v>
      </c>
      <c r="CB68" s="79">
        <v>0</v>
      </c>
      <c r="CC68" s="79">
        <v>0</v>
      </c>
      <c r="CD68" s="79">
        <v>0</v>
      </c>
      <c r="CE68" s="79">
        <v>0</v>
      </c>
      <c r="CF68" s="79">
        <v>0</v>
      </c>
      <c r="CG68" s="79">
        <v>0</v>
      </c>
      <c r="CH68" s="79">
        <v>0</v>
      </c>
      <c r="CI68" s="79">
        <v>0</v>
      </c>
      <c r="CJ68" s="79">
        <v>0</v>
      </c>
      <c r="CK68" s="79">
        <v>0</v>
      </c>
      <c r="CL68" s="79">
        <v>0</v>
      </c>
      <c r="CM68" s="79">
        <v>0</v>
      </c>
      <c r="CN68" s="79">
        <v>0</v>
      </c>
      <c r="CO68" s="79">
        <v>0</v>
      </c>
      <c r="CP68" s="79">
        <v>0</v>
      </c>
      <c r="CQ68" s="79">
        <v>0</v>
      </c>
      <c r="CR68" s="79">
        <v>0</v>
      </c>
      <c r="CS68" s="79">
        <v>0</v>
      </c>
      <c r="CT68" s="79">
        <v>0</v>
      </c>
      <c r="CU68" s="79">
        <v>0</v>
      </c>
      <c r="CV68" s="79">
        <v>0</v>
      </c>
      <c r="CW68" s="79">
        <v>0</v>
      </c>
      <c r="CX68" s="79">
        <v>0</v>
      </c>
      <c r="CY68" s="79">
        <v>0</v>
      </c>
      <c r="CZ68" s="79">
        <v>0</v>
      </c>
      <c r="DA68" s="79">
        <v>0</v>
      </c>
      <c r="DB68" s="79">
        <v>0</v>
      </c>
      <c r="DC68" s="79">
        <v>0</v>
      </c>
      <c r="DD68" s="83">
        <v>0</v>
      </c>
      <c r="DE68" s="83">
        <v>0</v>
      </c>
      <c r="DF68" s="83">
        <v>0</v>
      </c>
      <c r="DG68" s="83">
        <v>0</v>
      </c>
      <c r="DH68" s="83">
        <v>0</v>
      </c>
      <c r="DI68" s="83">
        <v>0</v>
      </c>
      <c r="DJ68" s="83">
        <v>0</v>
      </c>
      <c r="DK68" s="83">
        <v>0</v>
      </c>
      <c r="DL68" s="83">
        <v>0</v>
      </c>
      <c r="DM68" s="83">
        <v>0</v>
      </c>
      <c r="DN68" s="83">
        <v>0</v>
      </c>
      <c r="DO68" s="83">
        <v>0</v>
      </c>
      <c r="DP68" s="83">
        <v>0</v>
      </c>
      <c r="DQ68" s="83">
        <v>0</v>
      </c>
      <c r="DR68" s="83">
        <v>0</v>
      </c>
      <c r="DS68" s="83">
        <v>0</v>
      </c>
      <c r="DT68" s="151">
        <v>0</v>
      </c>
      <c r="DU68" s="150">
        <v>0</v>
      </c>
      <c r="DV68" s="150">
        <v>0</v>
      </c>
      <c r="DW68" s="150">
        <v>0</v>
      </c>
      <c r="DX68" s="150">
        <v>0</v>
      </c>
      <c r="DY68" s="150">
        <v>0</v>
      </c>
      <c r="DZ68" s="79">
        <v>0</v>
      </c>
      <c r="EA68" s="79">
        <v>0</v>
      </c>
      <c r="EB68" s="79">
        <v>0</v>
      </c>
      <c r="EC68" s="79">
        <v>0</v>
      </c>
      <c r="ED68" s="79">
        <v>0</v>
      </c>
      <c r="EE68" s="79">
        <v>0</v>
      </c>
      <c r="EF68" s="81">
        <v>0</v>
      </c>
      <c r="EG68" s="81">
        <v>0</v>
      </c>
      <c r="EH68" s="79">
        <v>0</v>
      </c>
      <c r="EI68" s="79">
        <v>0</v>
      </c>
      <c r="EJ68" s="79">
        <v>0</v>
      </c>
      <c r="EK68" s="79">
        <v>0</v>
      </c>
      <c r="EL68" s="79">
        <v>0</v>
      </c>
      <c r="EM68" s="79">
        <v>0</v>
      </c>
      <c r="EN68" s="79">
        <v>0</v>
      </c>
      <c r="EO68" s="79">
        <v>0</v>
      </c>
      <c r="EP68" s="79">
        <v>0</v>
      </c>
      <c r="EQ68" s="79">
        <v>0</v>
      </c>
      <c r="ER68" s="79">
        <v>0</v>
      </c>
      <c r="ES68" s="79">
        <v>0</v>
      </c>
      <c r="ET68" s="79">
        <v>0</v>
      </c>
      <c r="EU68" s="79">
        <v>0</v>
      </c>
      <c r="EV68" s="79">
        <v>0</v>
      </c>
      <c r="EW68" s="79">
        <v>0</v>
      </c>
      <c r="EX68" s="79">
        <v>0</v>
      </c>
      <c r="EY68" s="79">
        <v>0</v>
      </c>
      <c r="EZ68" s="79">
        <v>0</v>
      </c>
      <c r="FA68" s="79">
        <v>0</v>
      </c>
      <c r="FB68" s="79">
        <v>0</v>
      </c>
      <c r="FC68" s="79">
        <v>0</v>
      </c>
      <c r="FD68" s="310">
        <v>0</v>
      </c>
      <c r="FE68" s="95">
        <v>0</v>
      </c>
      <c r="FF68" s="95">
        <v>0</v>
      </c>
      <c r="FG68" s="95">
        <v>0</v>
      </c>
      <c r="FH68" s="95">
        <v>0</v>
      </c>
      <c r="FI68" s="95">
        <v>0</v>
      </c>
      <c r="FJ68" s="95">
        <v>0</v>
      </c>
      <c r="FK68" s="95">
        <v>0</v>
      </c>
      <c r="FL68" s="95">
        <v>0</v>
      </c>
      <c r="FM68" s="95">
        <v>0</v>
      </c>
      <c r="FN68" s="95">
        <v>0</v>
      </c>
      <c r="FO68" s="311">
        <v>0</v>
      </c>
      <c r="FP68" s="310">
        <v>0</v>
      </c>
      <c r="FQ68" s="95">
        <v>0</v>
      </c>
      <c r="FR68" s="95">
        <v>0</v>
      </c>
      <c r="FS68" s="95">
        <v>0</v>
      </c>
      <c r="FT68" s="95">
        <v>0</v>
      </c>
      <c r="FU68" s="95">
        <v>0</v>
      </c>
      <c r="FV68" s="95">
        <v>0</v>
      </c>
      <c r="FW68" s="95">
        <v>0</v>
      </c>
      <c r="FX68" s="95">
        <v>0</v>
      </c>
      <c r="FY68" s="95">
        <v>0</v>
      </c>
      <c r="FZ68" s="95">
        <v>0</v>
      </c>
      <c r="GA68" s="311">
        <v>0</v>
      </c>
      <c r="GB68" s="310">
        <v>0</v>
      </c>
      <c r="GC68" s="95">
        <v>0</v>
      </c>
      <c r="GD68" s="311">
        <v>0</v>
      </c>
      <c r="GE68" s="91">
        <v>0</v>
      </c>
      <c r="GF68" s="91">
        <v>0</v>
      </c>
      <c r="GG68" s="91">
        <v>0</v>
      </c>
      <c r="GH68" s="91">
        <v>0</v>
      </c>
      <c r="GI68" s="393">
        <v>0</v>
      </c>
    </row>
    <row r="69" spans="1:191" s="215" customFormat="1" ht="15" customHeight="1">
      <c r="A69" s="210"/>
      <c r="B69" s="250" t="s">
        <v>130</v>
      </c>
      <c r="C69" s="211">
        <f aca="true" t="shared" si="99" ref="C69:AS69">SUM(C71:C76)</f>
        <v>0</v>
      </c>
      <c r="D69" s="211">
        <f t="shared" si="99"/>
        <v>0</v>
      </c>
      <c r="E69" s="211">
        <f t="shared" si="99"/>
        <v>50</v>
      </c>
      <c r="F69" s="211">
        <f t="shared" si="99"/>
        <v>172</v>
      </c>
      <c r="G69" s="211">
        <f t="shared" si="99"/>
        <v>197</v>
      </c>
      <c r="H69" s="211">
        <f t="shared" si="99"/>
        <v>183</v>
      </c>
      <c r="I69" s="211">
        <f t="shared" si="99"/>
        <v>123</v>
      </c>
      <c r="J69" s="211">
        <f t="shared" si="99"/>
        <v>225</v>
      </c>
      <c r="K69" s="211">
        <f t="shared" si="99"/>
        <v>511</v>
      </c>
      <c r="L69" s="211">
        <f t="shared" si="99"/>
        <v>438</v>
      </c>
      <c r="M69" s="211">
        <f t="shared" si="99"/>
        <v>481</v>
      </c>
      <c r="N69" s="211">
        <f t="shared" si="99"/>
        <v>1875</v>
      </c>
      <c r="O69" s="211">
        <f t="shared" si="99"/>
        <v>1894</v>
      </c>
      <c r="P69" s="211">
        <f t="shared" si="99"/>
        <v>1676</v>
      </c>
      <c r="Q69" s="211">
        <f t="shared" si="99"/>
        <v>1420</v>
      </c>
      <c r="R69" s="211">
        <f t="shared" si="99"/>
        <v>1433</v>
      </c>
      <c r="S69" s="211">
        <f t="shared" si="99"/>
        <v>1472</v>
      </c>
      <c r="T69" s="211">
        <f t="shared" si="99"/>
        <v>1417</v>
      </c>
      <c r="U69" s="211">
        <f t="shared" si="99"/>
        <v>1649</v>
      </c>
      <c r="V69" s="211">
        <f t="shared" si="99"/>
        <v>2390</v>
      </c>
      <c r="W69" s="211">
        <f t="shared" si="99"/>
        <v>2672</v>
      </c>
      <c r="X69" s="211">
        <f t="shared" si="99"/>
        <v>2206</v>
      </c>
      <c r="Y69" s="211">
        <f t="shared" si="99"/>
        <v>2551</v>
      </c>
      <c r="Z69" s="211">
        <f t="shared" si="99"/>
        <v>2825</v>
      </c>
      <c r="AA69" s="211">
        <f t="shared" si="99"/>
        <v>2864</v>
      </c>
      <c r="AB69" s="211">
        <f t="shared" si="99"/>
        <v>3564</v>
      </c>
      <c r="AC69" s="211">
        <f t="shared" si="99"/>
        <v>3613</v>
      </c>
      <c r="AD69" s="211">
        <f t="shared" si="99"/>
        <v>3763</v>
      </c>
      <c r="AE69" s="211">
        <f t="shared" si="99"/>
        <v>4239</v>
      </c>
      <c r="AF69" s="211">
        <f t="shared" si="99"/>
        <v>3334</v>
      </c>
      <c r="AG69" s="211">
        <f t="shared" si="99"/>
        <v>3625</v>
      </c>
      <c r="AH69" s="211">
        <f t="shared" si="99"/>
        <v>4211</v>
      </c>
      <c r="AI69" s="211">
        <f t="shared" si="99"/>
        <v>4426</v>
      </c>
      <c r="AJ69" s="211">
        <f t="shared" si="99"/>
        <v>4677</v>
      </c>
      <c r="AK69" s="211">
        <f t="shared" si="99"/>
        <v>4914</v>
      </c>
      <c r="AL69" s="211">
        <f t="shared" si="99"/>
        <v>5309</v>
      </c>
      <c r="AM69" s="211">
        <f t="shared" si="99"/>
        <v>7288</v>
      </c>
      <c r="AN69" s="211">
        <f t="shared" si="99"/>
        <v>7623</v>
      </c>
      <c r="AO69" s="211">
        <f t="shared" si="99"/>
        <v>7348</v>
      </c>
      <c r="AP69" s="211">
        <f t="shared" si="99"/>
        <v>7167</v>
      </c>
      <c r="AQ69" s="211">
        <f t="shared" si="99"/>
        <v>7523</v>
      </c>
      <c r="AR69" s="212">
        <f t="shared" si="99"/>
        <v>8349</v>
      </c>
      <c r="AS69" s="212">
        <f t="shared" si="99"/>
        <v>8739</v>
      </c>
      <c r="AT69" s="212">
        <f aca="true" t="shared" si="100" ref="AT69:BY69">SUM(AT70:AT76)</f>
        <v>10804</v>
      </c>
      <c r="AU69" s="212">
        <f t="shared" si="100"/>
        <v>11332</v>
      </c>
      <c r="AV69" s="212">
        <f t="shared" si="100"/>
        <v>6124</v>
      </c>
      <c r="AW69" s="213">
        <f t="shared" si="100"/>
        <v>6608</v>
      </c>
      <c r="AX69" s="213">
        <f t="shared" si="100"/>
        <v>6387</v>
      </c>
      <c r="AY69" s="213">
        <f t="shared" si="100"/>
        <v>8248</v>
      </c>
      <c r="AZ69" s="213">
        <f t="shared" si="100"/>
        <v>7373</v>
      </c>
      <c r="BA69" s="213">
        <f t="shared" si="100"/>
        <v>4448</v>
      </c>
      <c r="BB69" s="213">
        <f t="shared" si="100"/>
        <v>4911</v>
      </c>
      <c r="BC69" s="213">
        <f t="shared" si="100"/>
        <v>7250</v>
      </c>
      <c r="BD69" s="213">
        <f t="shared" si="100"/>
        <v>6297</v>
      </c>
      <c r="BE69" s="213">
        <f t="shared" si="100"/>
        <v>7231</v>
      </c>
      <c r="BF69" s="213">
        <f t="shared" si="100"/>
        <v>5673</v>
      </c>
      <c r="BG69" s="213">
        <f t="shared" si="100"/>
        <v>6346</v>
      </c>
      <c r="BH69" s="213">
        <f t="shared" si="100"/>
        <v>8866</v>
      </c>
      <c r="BI69" s="213">
        <f t="shared" si="100"/>
        <v>7985</v>
      </c>
      <c r="BJ69" s="213">
        <f t="shared" si="100"/>
        <v>6967</v>
      </c>
      <c r="BK69" s="213">
        <f t="shared" si="100"/>
        <v>6871</v>
      </c>
      <c r="BL69" s="213">
        <f t="shared" si="100"/>
        <v>7317</v>
      </c>
      <c r="BM69" s="213">
        <f t="shared" si="100"/>
        <v>7240</v>
      </c>
      <c r="BN69" s="213">
        <f t="shared" si="100"/>
        <v>6864</v>
      </c>
      <c r="BO69" s="213">
        <f t="shared" si="100"/>
        <v>6896</v>
      </c>
      <c r="BP69" s="213">
        <f t="shared" si="100"/>
        <v>6678</v>
      </c>
      <c r="BQ69" s="213">
        <f t="shared" si="100"/>
        <v>6809</v>
      </c>
      <c r="BR69" s="213">
        <f t="shared" si="100"/>
        <v>5884</v>
      </c>
      <c r="BS69" s="213">
        <f t="shared" si="100"/>
        <v>5820</v>
      </c>
      <c r="BT69" s="213">
        <f t="shared" si="100"/>
        <v>5995</v>
      </c>
      <c r="BU69" s="213">
        <f t="shared" si="100"/>
        <v>5921</v>
      </c>
      <c r="BV69" s="213">
        <f t="shared" si="100"/>
        <v>6061</v>
      </c>
      <c r="BW69" s="213">
        <f t="shared" si="100"/>
        <v>5570</v>
      </c>
      <c r="BX69" s="213">
        <f t="shared" si="100"/>
        <v>7011</v>
      </c>
      <c r="BY69" s="213">
        <f t="shared" si="100"/>
        <v>7312</v>
      </c>
      <c r="BZ69" s="213">
        <f aca="true" t="shared" si="101" ref="BZ69:DE69">SUM(BZ70:BZ76)</f>
        <v>7171</v>
      </c>
      <c r="CA69" s="214">
        <f t="shared" si="101"/>
        <v>6449</v>
      </c>
      <c r="CB69" s="214">
        <f t="shared" si="101"/>
        <v>6167</v>
      </c>
      <c r="CC69" s="214">
        <f t="shared" si="101"/>
        <v>4349</v>
      </c>
      <c r="CD69" s="214">
        <f t="shared" si="101"/>
        <v>5061</v>
      </c>
      <c r="CE69" s="214">
        <f t="shared" si="101"/>
        <v>5115</v>
      </c>
      <c r="CF69" s="214">
        <f t="shared" si="101"/>
        <v>5157</v>
      </c>
      <c r="CG69" s="214">
        <f t="shared" si="101"/>
        <v>4891</v>
      </c>
      <c r="CH69" s="214">
        <f t="shared" si="101"/>
        <v>4732</v>
      </c>
      <c r="CI69" s="214">
        <f t="shared" si="101"/>
        <v>4476</v>
      </c>
      <c r="CJ69" s="214">
        <f t="shared" si="101"/>
        <v>4647</v>
      </c>
      <c r="CK69" s="214">
        <f t="shared" si="101"/>
        <v>5245</v>
      </c>
      <c r="CL69" s="214">
        <f t="shared" si="101"/>
        <v>5874</v>
      </c>
      <c r="CM69" s="214">
        <f t="shared" si="101"/>
        <v>5016</v>
      </c>
      <c r="CN69" s="214">
        <f t="shared" si="101"/>
        <v>5097</v>
      </c>
      <c r="CO69" s="214">
        <f t="shared" si="101"/>
        <v>4637</v>
      </c>
      <c r="CP69" s="214">
        <f t="shared" si="101"/>
        <v>4644</v>
      </c>
      <c r="CQ69" s="214">
        <f t="shared" si="101"/>
        <v>5093</v>
      </c>
      <c r="CR69" s="214">
        <f t="shared" si="101"/>
        <v>5009</v>
      </c>
      <c r="CS69" s="214">
        <f t="shared" si="101"/>
        <v>6021</v>
      </c>
      <c r="CT69" s="214">
        <f t="shared" si="101"/>
        <v>6103</v>
      </c>
      <c r="CU69" s="214">
        <f t="shared" si="101"/>
        <v>6299</v>
      </c>
      <c r="CV69" s="214">
        <f t="shared" si="101"/>
        <v>5874</v>
      </c>
      <c r="CW69" s="214">
        <f t="shared" si="101"/>
        <v>6321</v>
      </c>
      <c r="CX69" s="214">
        <f t="shared" si="101"/>
        <v>7101</v>
      </c>
      <c r="CY69" s="214">
        <f t="shared" si="101"/>
        <v>7213</v>
      </c>
      <c r="CZ69" s="214">
        <f t="shared" si="101"/>
        <v>7083</v>
      </c>
      <c r="DA69" s="214">
        <f t="shared" si="101"/>
        <v>7160</v>
      </c>
      <c r="DB69" s="214">
        <f t="shared" si="101"/>
        <v>6631</v>
      </c>
      <c r="DC69" s="214">
        <f t="shared" si="101"/>
        <v>7333</v>
      </c>
      <c r="DD69" s="218">
        <f t="shared" si="101"/>
        <v>6843</v>
      </c>
      <c r="DE69" s="218">
        <f t="shared" si="101"/>
        <v>6378</v>
      </c>
      <c r="DF69" s="218">
        <f aca="true" t="shared" si="102" ref="DF69:EK69">SUM(DF70:DF76)</f>
        <v>7080</v>
      </c>
      <c r="DG69" s="218">
        <f t="shared" si="102"/>
        <v>7302</v>
      </c>
      <c r="DH69" s="218">
        <f t="shared" si="102"/>
        <v>8530</v>
      </c>
      <c r="DI69" s="218">
        <f t="shared" si="102"/>
        <v>9012</v>
      </c>
      <c r="DJ69" s="218">
        <f t="shared" si="102"/>
        <v>8921</v>
      </c>
      <c r="DK69" s="218">
        <f t="shared" si="102"/>
        <v>8578</v>
      </c>
      <c r="DL69" s="218">
        <f t="shared" si="102"/>
        <v>9550</v>
      </c>
      <c r="DM69" s="218">
        <f t="shared" si="102"/>
        <v>8668</v>
      </c>
      <c r="DN69" s="277">
        <f t="shared" si="102"/>
        <v>8985</v>
      </c>
      <c r="DO69" s="277">
        <f t="shared" si="102"/>
        <v>8612</v>
      </c>
      <c r="DP69" s="277">
        <f t="shared" si="102"/>
        <v>8693</v>
      </c>
      <c r="DQ69" s="277">
        <f t="shared" si="102"/>
        <v>8363</v>
      </c>
      <c r="DR69" s="277">
        <f t="shared" si="102"/>
        <v>8688</v>
      </c>
      <c r="DS69" s="277">
        <f t="shared" si="102"/>
        <v>9604</v>
      </c>
      <c r="DT69" s="286">
        <f t="shared" si="102"/>
        <v>10703</v>
      </c>
      <c r="DU69" s="286">
        <f t="shared" si="102"/>
        <v>9478</v>
      </c>
      <c r="DV69" s="286">
        <f t="shared" si="102"/>
        <v>8482</v>
      </c>
      <c r="DW69" s="286">
        <f t="shared" si="102"/>
        <v>8471</v>
      </c>
      <c r="DX69" s="286">
        <f t="shared" si="102"/>
        <v>6617</v>
      </c>
      <c r="DY69" s="286">
        <f t="shared" si="102"/>
        <v>8824</v>
      </c>
      <c r="DZ69" s="287">
        <f t="shared" si="102"/>
        <v>5666</v>
      </c>
      <c r="EA69" s="287">
        <f t="shared" si="102"/>
        <v>4944</v>
      </c>
      <c r="EB69" s="287">
        <f t="shared" si="102"/>
        <v>5161</v>
      </c>
      <c r="EC69" s="287">
        <f t="shared" si="102"/>
        <v>5299</v>
      </c>
      <c r="ED69" s="287">
        <f t="shared" si="102"/>
        <v>5606</v>
      </c>
      <c r="EE69" s="287">
        <f t="shared" si="102"/>
        <v>5759</v>
      </c>
      <c r="EF69" s="276">
        <f t="shared" si="102"/>
        <v>6053</v>
      </c>
      <c r="EG69" s="276">
        <f t="shared" si="102"/>
        <v>6760</v>
      </c>
      <c r="EH69" s="277">
        <f t="shared" si="102"/>
        <v>7772</v>
      </c>
      <c r="EI69" s="277">
        <f t="shared" si="102"/>
        <v>7490</v>
      </c>
      <c r="EJ69" s="277">
        <f t="shared" si="102"/>
        <v>7447</v>
      </c>
      <c r="EK69" s="277">
        <f t="shared" si="102"/>
        <v>7445</v>
      </c>
      <c r="EL69" s="277">
        <f aca="true" t="shared" si="103" ref="EL69:FQ69">SUM(EL70:EL76)</f>
        <v>7081</v>
      </c>
      <c r="EM69" s="231">
        <f t="shared" si="103"/>
        <v>6112</v>
      </c>
      <c r="EN69" s="231">
        <f t="shared" si="103"/>
        <v>6503</v>
      </c>
      <c r="EO69" s="231">
        <f t="shared" si="103"/>
        <v>6199</v>
      </c>
      <c r="EP69" s="231">
        <f t="shared" si="103"/>
        <v>5980</v>
      </c>
      <c r="EQ69" s="231">
        <f t="shared" si="103"/>
        <v>5671</v>
      </c>
      <c r="ER69" s="277">
        <f t="shared" si="103"/>
        <v>5612</v>
      </c>
      <c r="ES69" s="217">
        <f t="shared" si="103"/>
        <v>5454</v>
      </c>
      <c r="ET69" s="217">
        <f t="shared" si="103"/>
        <v>5377</v>
      </c>
      <c r="EU69" s="217">
        <f t="shared" si="103"/>
        <v>4979</v>
      </c>
      <c r="EV69" s="217">
        <f t="shared" si="103"/>
        <v>5288</v>
      </c>
      <c r="EW69" s="217">
        <f t="shared" si="103"/>
        <v>5063</v>
      </c>
      <c r="EX69" s="217">
        <f t="shared" si="103"/>
        <v>4603</v>
      </c>
      <c r="EY69" s="217">
        <f t="shared" si="103"/>
        <v>6228</v>
      </c>
      <c r="EZ69" s="217">
        <f t="shared" si="103"/>
        <v>6239</v>
      </c>
      <c r="FA69" s="217">
        <f t="shared" si="103"/>
        <v>5927</v>
      </c>
      <c r="FB69" s="217">
        <f t="shared" si="103"/>
        <v>6192</v>
      </c>
      <c r="FC69" s="217">
        <f t="shared" si="103"/>
        <v>5893</v>
      </c>
      <c r="FD69" s="324">
        <f t="shared" si="103"/>
        <v>5248</v>
      </c>
      <c r="FE69" s="219">
        <f t="shared" si="103"/>
        <v>5332</v>
      </c>
      <c r="FF69" s="219">
        <f t="shared" si="103"/>
        <v>4967</v>
      </c>
      <c r="FG69" s="219">
        <f t="shared" si="103"/>
        <v>5040</v>
      </c>
      <c r="FH69" s="219">
        <f t="shared" si="103"/>
        <v>5502</v>
      </c>
      <c r="FI69" s="219">
        <f t="shared" si="103"/>
        <v>5500</v>
      </c>
      <c r="FJ69" s="219">
        <f t="shared" si="103"/>
        <v>5763</v>
      </c>
      <c r="FK69" s="219">
        <f t="shared" si="103"/>
        <v>5814</v>
      </c>
      <c r="FL69" s="219">
        <f t="shared" si="103"/>
        <v>5837</v>
      </c>
      <c r="FM69" s="219">
        <f t="shared" si="103"/>
        <v>6095</v>
      </c>
      <c r="FN69" s="219">
        <f t="shared" si="103"/>
        <v>5525</v>
      </c>
      <c r="FO69" s="356">
        <f t="shared" si="103"/>
        <v>4885</v>
      </c>
      <c r="FP69" s="324">
        <f t="shared" si="103"/>
        <v>4841</v>
      </c>
      <c r="FQ69" s="219">
        <f t="shared" si="103"/>
        <v>5163</v>
      </c>
      <c r="FR69" s="219">
        <f aca="true" t="shared" si="104" ref="FR69:GB69">SUM(FR70:FR76)</f>
        <v>5112</v>
      </c>
      <c r="FS69" s="219">
        <f t="shared" si="104"/>
        <v>5012</v>
      </c>
      <c r="FT69" s="219">
        <f t="shared" si="104"/>
        <v>4765</v>
      </c>
      <c r="FU69" s="219">
        <f t="shared" si="104"/>
        <v>4683</v>
      </c>
      <c r="FV69" s="219">
        <f t="shared" si="104"/>
        <v>5318</v>
      </c>
      <c r="FW69" s="219">
        <f t="shared" si="104"/>
        <v>5328</v>
      </c>
      <c r="FX69" s="219">
        <f t="shared" si="104"/>
        <v>6009</v>
      </c>
      <c r="FY69" s="219">
        <f t="shared" si="104"/>
        <v>5554</v>
      </c>
      <c r="FZ69" s="219">
        <f t="shared" si="104"/>
        <v>4282</v>
      </c>
      <c r="GA69" s="356">
        <f t="shared" si="104"/>
        <v>4495</v>
      </c>
      <c r="GB69" s="324">
        <f t="shared" si="104"/>
        <v>4728</v>
      </c>
      <c r="GC69" s="219">
        <f>SUM(GC70:GC76)</f>
        <v>4868</v>
      </c>
      <c r="GD69" s="356">
        <f>SUM(GD70:GD76)</f>
        <v>4563</v>
      </c>
      <c r="GE69" s="219">
        <f>SUM(GE70:GE76)</f>
        <v>4755</v>
      </c>
      <c r="GF69" s="219">
        <f>SUM(GF70:GF76)</f>
        <v>4590</v>
      </c>
      <c r="GG69" s="219">
        <f>SUM(GG70:GG76)</f>
        <v>4527</v>
      </c>
      <c r="GH69" s="219">
        <f>SUM(GH70:GH76)</f>
        <v>4486</v>
      </c>
      <c r="GI69" s="356">
        <f>SUM(GI70:GI76)</f>
        <v>4528</v>
      </c>
    </row>
    <row r="70" spans="1:191" ht="15" customHeight="1">
      <c r="A70" s="6"/>
      <c r="B70" s="251" t="s">
        <v>80</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73"/>
      <c r="AS70" s="73"/>
      <c r="AT70" s="81">
        <v>1808</v>
      </c>
      <c r="AU70" s="81">
        <v>1963</v>
      </c>
      <c r="AV70" s="81">
        <v>87</v>
      </c>
      <c r="AW70" s="79">
        <v>609</v>
      </c>
      <c r="AX70" s="81">
        <v>623</v>
      </c>
      <c r="AY70" s="79">
        <v>2381</v>
      </c>
      <c r="AZ70" s="81">
        <v>2211</v>
      </c>
      <c r="BA70" s="79">
        <v>221</v>
      </c>
      <c r="BB70" s="79">
        <v>939</v>
      </c>
      <c r="BC70" s="79">
        <v>3084</v>
      </c>
      <c r="BD70" s="79">
        <v>1936</v>
      </c>
      <c r="BE70" s="79">
        <v>2406</v>
      </c>
      <c r="BF70" s="79">
        <v>281</v>
      </c>
      <c r="BG70" s="79">
        <v>469</v>
      </c>
      <c r="BH70" s="79">
        <v>1587</v>
      </c>
      <c r="BI70" s="81">
        <v>1076</v>
      </c>
      <c r="BJ70" s="81">
        <v>933</v>
      </c>
      <c r="BK70" s="79">
        <v>940</v>
      </c>
      <c r="BL70" s="78">
        <v>796</v>
      </c>
      <c r="BM70" s="85">
        <v>732</v>
      </c>
      <c r="BN70" s="85">
        <v>3643</v>
      </c>
      <c r="BO70" s="85">
        <v>3628</v>
      </c>
      <c r="BP70" s="78">
        <v>4069</v>
      </c>
      <c r="BQ70" s="78">
        <v>3903</v>
      </c>
      <c r="BR70" s="85">
        <v>3065</v>
      </c>
      <c r="BS70" s="85">
        <v>2946</v>
      </c>
      <c r="BT70" s="85">
        <v>3287</v>
      </c>
      <c r="BU70" s="85">
        <v>3099</v>
      </c>
      <c r="BV70" s="85">
        <v>3183</v>
      </c>
      <c r="BW70" s="85">
        <v>2803</v>
      </c>
      <c r="BX70" s="85">
        <v>3086</v>
      </c>
      <c r="BY70" s="85">
        <v>3366</v>
      </c>
      <c r="BZ70" s="85">
        <v>2843</v>
      </c>
      <c r="CA70" s="78">
        <v>2390</v>
      </c>
      <c r="CB70" s="78">
        <v>2272</v>
      </c>
      <c r="CC70" s="78">
        <v>967</v>
      </c>
      <c r="CD70" s="78">
        <v>1899</v>
      </c>
      <c r="CE70" s="78">
        <v>1927</v>
      </c>
      <c r="CF70" s="78">
        <v>1844</v>
      </c>
      <c r="CG70" s="78">
        <v>1498</v>
      </c>
      <c r="CH70" s="78">
        <v>1076</v>
      </c>
      <c r="CI70" s="78">
        <v>1066</v>
      </c>
      <c r="CJ70" s="78">
        <v>1280</v>
      </c>
      <c r="CK70" s="78">
        <v>1825</v>
      </c>
      <c r="CL70" s="78">
        <v>1913</v>
      </c>
      <c r="CM70" s="78">
        <v>1051</v>
      </c>
      <c r="CN70" s="78">
        <v>1231</v>
      </c>
      <c r="CO70" s="78">
        <v>948</v>
      </c>
      <c r="CP70" s="78">
        <v>1044</v>
      </c>
      <c r="CQ70" s="78">
        <v>1216</v>
      </c>
      <c r="CR70" s="78">
        <v>1301</v>
      </c>
      <c r="CS70" s="78">
        <v>1887</v>
      </c>
      <c r="CT70" s="78">
        <v>2245</v>
      </c>
      <c r="CU70" s="78">
        <v>2470</v>
      </c>
      <c r="CV70" s="78">
        <v>2150</v>
      </c>
      <c r="CW70" s="78">
        <v>2419</v>
      </c>
      <c r="CX70" s="78">
        <v>3173</v>
      </c>
      <c r="CY70" s="78">
        <v>3238</v>
      </c>
      <c r="CZ70" s="78">
        <v>3296</v>
      </c>
      <c r="DA70" s="78">
        <v>3156</v>
      </c>
      <c r="DB70" s="78">
        <v>2473</v>
      </c>
      <c r="DC70" s="78">
        <v>3004</v>
      </c>
      <c r="DD70" s="85">
        <v>2402</v>
      </c>
      <c r="DE70" s="85">
        <v>2110</v>
      </c>
      <c r="DF70" s="85">
        <v>3009</v>
      </c>
      <c r="DG70" s="85">
        <v>3115</v>
      </c>
      <c r="DH70" s="85">
        <v>3203</v>
      </c>
      <c r="DI70" s="85">
        <v>3577</v>
      </c>
      <c r="DJ70" s="81">
        <v>3501</v>
      </c>
      <c r="DK70" s="81">
        <v>3158</v>
      </c>
      <c r="DL70" s="81">
        <v>3652</v>
      </c>
      <c r="DM70" s="81">
        <v>2797</v>
      </c>
      <c r="DN70" s="81">
        <v>3557</v>
      </c>
      <c r="DO70" s="81">
        <v>3718</v>
      </c>
      <c r="DP70" s="81">
        <v>3896</v>
      </c>
      <c r="DQ70" s="81">
        <v>2890</v>
      </c>
      <c r="DR70" s="81">
        <v>2963</v>
      </c>
      <c r="DS70" s="81">
        <v>3134</v>
      </c>
      <c r="DT70" s="151">
        <v>4297</v>
      </c>
      <c r="DU70" s="150">
        <v>3045</v>
      </c>
      <c r="DV70" s="150">
        <v>2380</v>
      </c>
      <c r="DW70" s="150">
        <v>2284</v>
      </c>
      <c r="DX70" s="150">
        <v>775</v>
      </c>
      <c r="DY70" s="151">
        <v>3149</v>
      </c>
      <c r="DZ70" s="81">
        <v>500</v>
      </c>
      <c r="EA70" s="79">
        <v>323</v>
      </c>
      <c r="EB70" s="79">
        <v>353</v>
      </c>
      <c r="EC70" s="79">
        <v>166</v>
      </c>
      <c r="ED70" s="79">
        <v>345</v>
      </c>
      <c r="EE70" s="81">
        <v>383</v>
      </c>
      <c r="EF70" s="81">
        <v>359</v>
      </c>
      <c r="EG70" s="81">
        <v>497</v>
      </c>
      <c r="EH70" s="79">
        <v>400</v>
      </c>
      <c r="EI70" s="79">
        <v>40</v>
      </c>
      <c r="EJ70" s="79">
        <v>169</v>
      </c>
      <c r="EK70" s="79">
        <v>283</v>
      </c>
      <c r="EL70" s="79">
        <v>236</v>
      </c>
      <c r="EM70" s="79">
        <v>159</v>
      </c>
      <c r="EN70" s="79">
        <v>212</v>
      </c>
      <c r="EO70" s="79">
        <v>151</v>
      </c>
      <c r="EP70" s="79">
        <v>168</v>
      </c>
      <c r="EQ70" s="79">
        <v>332</v>
      </c>
      <c r="ER70" s="271">
        <v>674</v>
      </c>
      <c r="ES70" s="79">
        <v>896</v>
      </c>
      <c r="ET70" s="78">
        <v>1372</v>
      </c>
      <c r="EU70" s="78">
        <v>1151</v>
      </c>
      <c r="EV70" s="78">
        <v>1267</v>
      </c>
      <c r="EW70" s="78">
        <v>1062</v>
      </c>
      <c r="EX70" s="78">
        <v>716</v>
      </c>
      <c r="EY70" s="78">
        <v>493</v>
      </c>
      <c r="EZ70" s="78">
        <v>416</v>
      </c>
      <c r="FA70" s="78">
        <v>214</v>
      </c>
      <c r="FB70" s="78">
        <v>387</v>
      </c>
      <c r="FC70" s="78">
        <v>327</v>
      </c>
      <c r="FD70" s="312">
        <v>328</v>
      </c>
      <c r="FE70" s="90">
        <v>416</v>
      </c>
      <c r="FF70" s="90">
        <v>385</v>
      </c>
      <c r="FG70" s="90">
        <v>311</v>
      </c>
      <c r="FH70" s="90">
        <v>248</v>
      </c>
      <c r="FI70" s="90">
        <v>213</v>
      </c>
      <c r="FJ70" s="90">
        <v>257</v>
      </c>
      <c r="FK70" s="90">
        <v>216</v>
      </c>
      <c r="FL70" s="110">
        <v>221</v>
      </c>
      <c r="FM70" s="110">
        <v>227</v>
      </c>
      <c r="FN70" s="110">
        <v>170</v>
      </c>
      <c r="FO70" s="110">
        <v>101</v>
      </c>
      <c r="FP70" s="118">
        <v>77</v>
      </c>
      <c r="FQ70" s="110">
        <v>67</v>
      </c>
      <c r="FR70" s="110">
        <v>75</v>
      </c>
      <c r="FS70" s="110">
        <v>108</v>
      </c>
      <c r="FT70" s="110">
        <v>69</v>
      </c>
      <c r="FU70" s="110">
        <v>47</v>
      </c>
      <c r="FV70" s="110">
        <v>198</v>
      </c>
      <c r="FW70" s="110">
        <v>601</v>
      </c>
      <c r="FX70" s="110">
        <v>202</v>
      </c>
      <c r="FY70" s="110">
        <v>171</v>
      </c>
      <c r="FZ70" s="110">
        <v>66</v>
      </c>
      <c r="GA70" s="320">
        <v>66</v>
      </c>
      <c r="GB70" s="118">
        <v>81</v>
      </c>
      <c r="GC70" s="110">
        <v>149</v>
      </c>
      <c r="GD70" s="320">
        <v>99</v>
      </c>
      <c r="GE70" s="49">
        <v>99</v>
      </c>
      <c r="GF70" s="3">
        <v>129</v>
      </c>
      <c r="GG70" s="3">
        <v>157</v>
      </c>
      <c r="GH70" s="3">
        <v>72</v>
      </c>
      <c r="GI70" s="132">
        <v>169</v>
      </c>
    </row>
    <row r="71" spans="1:191" ht="15" customHeight="1">
      <c r="A71" s="6"/>
      <c r="B71" s="252" t="s">
        <v>69</v>
      </c>
      <c r="C71" s="80"/>
      <c r="D71" s="80"/>
      <c r="E71" s="80"/>
      <c r="F71" s="67"/>
      <c r="G71" s="67"/>
      <c r="H71" s="67"/>
      <c r="I71" s="67"/>
      <c r="J71" s="67"/>
      <c r="K71" s="67"/>
      <c r="L71" s="67"/>
      <c r="M71" s="67"/>
      <c r="N71" s="80"/>
      <c r="O71" s="80"/>
      <c r="P71" s="80"/>
      <c r="Q71" s="80"/>
      <c r="R71" s="25"/>
      <c r="S71" s="25"/>
      <c r="T71" s="25"/>
      <c r="U71" s="25"/>
      <c r="V71" s="25">
        <v>211</v>
      </c>
      <c r="W71" s="25">
        <v>221</v>
      </c>
      <c r="X71" s="25">
        <v>156</v>
      </c>
      <c r="Y71" s="81">
        <v>157</v>
      </c>
      <c r="Z71" s="81">
        <v>246</v>
      </c>
      <c r="AA71" s="81">
        <v>304</v>
      </c>
      <c r="AB71" s="25">
        <v>376</v>
      </c>
      <c r="AC71" s="25">
        <v>80</v>
      </c>
      <c r="AD71" s="25">
        <v>87</v>
      </c>
      <c r="AE71" s="25">
        <v>102</v>
      </c>
      <c r="AF71" s="62">
        <v>55</v>
      </c>
      <c r="AG71" s="62">
        <v>100</v>
      </c>
      <c r="AH71" s="62">
        <v>157</v>
      </c>
      <c r="AI71" s="62">
        <v>144</v>
      </c>
      <c r="AJ71" s="62">
        <v>169</v>
      </c>
      <c r="AK71" s="62">
        <v>111</v>
      </c>
      <c r="AL71" s="62">
        <v>312</v>
      </c>
      <c r="AM71" s="62">
        <v>591</v>
      </c>
      <c r="AN71" s="62">
        <v>583</v>
      </c>
      <c r="AO71" s="62">
        <v>480</v>
      </c>
      <c r="AP71" s="62">
        <v>473</v>
      </c>
      <c r="AQ71" s="62">
        <v>521</v>
      </c>
      <c r="AR71" s="79">
        <v>556</v>
      </c>
      <c r="AS71" s="79">
        <v>520</v>
      </c>
      <c r="AT71" s="79">
        <v>961</v>
      </c>
      <c r="AU71" s="79">
        <v>1171</v>
      </c>
      <c r="AV71" s="79">
        <v>21</v>
      </c>
      <c r="AW71" s="79">
        <v>35</v>
      </c>
      <c r="AX71" s="79">
        <v>29</v>
      </c>
      <c r="AY71" s="79">
        <v>572</v>
      </c>
      <c r="AZ71" s="79">
        <v>561</v>
      </c>
      <c r="BA71" s="79">
        <v>91</v>
      </c>
      <c r="BB71" s="79">
        <v>78</v>
      </c>
      <c r="BC71" s="79">
        <v>203</v>
      </c>
      <c r="BD71" s="79">
        <v>447</v>
      </c>
      <c r="BE71" s="79">
        <v>888</v>
      </c>
      <c r="BF71" s="79">
        <v>1065</v>
      </c>
      <c r="BG71" s="79">
        <v>600</v>
      </c>
      <c r="BH71" s="79">
        <v>1391</v>
      </c>
      <c r="BI71" s="81">
        <v>1141</v>
      </c>
      <c r="BJ71" s="81">
        <v>834</v>
      </c>
      <c r="BK71" s="79">
        <v>705</v>
      </c>
      <c r="BL71" s="78">
        <v>654</v>
      </c>
      <c r="BM71" s="78">
        <v>878</v>
      </c>
      <c r="BN71" s="79">
        <v>0</v>
      </c>
      <c r="BO71" s="79">
        <v>0</v>
      </c>
      <c r="BP71" s="79">
        <v>0</v>
      </c>
      <c r="BQ71" s="79">
        <v>0</v>
      </c>
      <c r="BR71" s="79">
        <v>0</v>
      </c>
      <c r="BS71" s="79">
        <v>0</v>
      </c>
      <c r="BT71" s="79">
        <v>0</v>
      </c>
      <c r="BU71" s="79">
        <v>0</v>
      </c>
      <c r="BV71" s="79">
        <v>0</v>
      </c>
      <c r="BW71" s="79">
        <v>0</v>
      </c>
      <c r="BX71" s="79">
        <v>0</v>
      </c>
      <c r="BY71" s="79">
        <v>0</v>
      </c>
      <c r="BZ71" s="79">
        <v>0</v>
      </c>
      <c r="CA71" s="79">
        <v>0</v>
      </c>
      <c r="CB71" s="79">
        <v>0</v>
      </c>
      <c r="CC71" s="79">
        <v>0</v>
      </c>
      <c r="CD71" s="79">
        <v>0</v>
      </c>
      <c r="CE71" s="79">
        <v>0</v>
      </c>
      <c r="CF71" s="79">
        <v>0</v>
      </c>
      <c r="CG71" s="79">
        <v>0</v>
      </c>
      <c r="CH71" s="79">
        <v>0</v>
      </c>
      <c r="CI71" s="79">
        <v>0</v>
      </c>
      <c r="CJ71" s="79">
        <v>0</v>
      </c>
      <c r="CK71" s="79">
        <v>0</v>
      </c>
      <c r="CL71" s="79">
        <v>0</v>
      </c>
      <c r="CM71" s="79">
        <v>0</v>
      </c>
      <c r="CN71" s="79">
        <v>0</v>
      </c>
      <c r="CO71" s="79">
        <v>0</v>
      </c>
      <c r="CP71" s="79">
        <v>0</v>
      </c>
      <c r="CQ71" s="79">
        <v>0</v>
      </c>
      <c r="CR71" s="79">
        <v>0</v>
      </c>
      <c r="CS71" s="79">
        <v>0</v>
      </c>
      <c r="CT71" s="79">
        <v>0</v>
      </c>
      <c r="CU71" s="79">
        <v>0</v>
      </c>
      <c r="CV71" s="79">
        <v>0</v>
      </c>
      <c r="CW71" s="79">
        <v>0</v>
      </c>
      <c r="CX71" s="79">
        <v>0</v>
      </c>
      <c r="CY71" s="79">
        <v>0</v>
      </c>
      <c r="CZ71" s="79">
        <v>0</v>
      </c>
      <c r="DA71" s="79">
        <v>0</v>
      </c>
      <c r="DB71" s="79">
        <v>0</v>
      </c>
      <c r="DC71" s="79">
        <v>0</v>
      </c>
      <c r="DD71" s="83">
        <v>0</v>
      </c>
      <c r="DE71" s="83">
        <v>0</v>
      </c>
      <c r="DF71" s="83">
        <v>0</v>
      </c>
      <c r="DG71" s="83">
        <v>0</v>
      </c>
      <c r="DH71" s="83">
        <v>0</v>
      </c>
      <c r="DI71" s="83">
        <v>0</v>
      </c>
      <c r="DJ71" s="83">
        <v>0</v>
      </c>
      <c r="DK71" s="83">
        <v>0</v>
      </c>
      <c r="DL71" s="83">
        <v>0</v>
      </c>
      <c r="DM71" s="83">
        <v>0</v>
      </c>
      <c r="DN71" s="83">
        <v>0</v>
      </c>
      <c r="DO71" s="83">
        <v>0</v>
      </c>
      <c r="DP71" s="83">
        <v>0</v>
      </c>
      <c r="DQ71" s="83">
        <v>0</v>
      </c>
      <c r="DR71" s="83">
        <v>0</v>
      </c>
      <c r="DS71" s="83">
        <v>0</v>
      </c>
      <c r="DT71" s="151">
        <v>0</v>
      </c>
      <c r="DU71" s="150">
        <v>0</v>
      </c>
      <c r="DV71" s="150">
        <v>0</v>
      </c>
      <c r="DW71" s="150">
        <v>0</v>
      </c>
      <c r="DX71" s="150">
        <v>0</v>
      </c>
      <c r="DY71" s="150">
        <v>0</v>
      </c>
      <c r="DZ71" s="79">
        <v>0</v>
      </c>
      <c r="EA71" s="79">
        <v>0</v>
      </c>
      <c r="EB71" s="79">
        <v>0</v>
      </c>
      <c r="EC71" s="79">
        <v>0</v>
      </c>
      <c r="ED71" s="79">
        <v>0</v>
      </c>
      <c r="EE71" s="79">
        <v>0</v>
      </c>
      <c r="EF71" s="81">
        <v>0</v>
      </c>
      <c r="EG71" s="81">
        <v>0</v>
      </c>
      <c r="EH71" s="79">
        <v>0</v>
      </c>
      <c r="EI71" s="79">
        <v>0</v>
      </c>
      <c r="EJ71" s="79">
        <v>0</v>
      </c>
      <c r="EK71" s="79">
        <v>0</v>
      </c>
      <c r="EL71" s="79">
        <v>0</v>
      </c>
      <c r="EM71" s="79">
        <v>0</v>
      </c>
      <c r="EN71" s="79">
        <v>0</v>
      </c>
      <c r="EO71" s="79">
        <v>0</v>
      </c>
      <c r="EP71" s="79">
        <v>0</v>
      </c>
      <c r="EQ71" s="79">
        <v>0</v>
      </c>
      <c r="ER71" s="79">
        <v>0</v>
      </c>
      <c r="ES71" s="79">
        <v>0</v>
      </c>
      <c r="ET71" s="79">
        <v>0</v>
      </c>
      <c r="EU71" s="79">
        <v>0</v>
      </c>
      <c r="EV71" s="79">
        <v>0</v>
      </c>
      <c r="EW71" s="79">
        <v>0</v>
      </c>
      <c r="EX71" s="79">
        <v>0</v>
      </c>
      <c r="EY71" s="79">
        <v>1263</v>
      </c>
      <c r="EZ71" s="79">
        <v>1237</v>
      </c>
      <c r="FA71" s="79">
        <v>1029</v>
      </c>
      <c r="FB71" s="79">
        <v>1083</v>
      </c>
      <c r="FC71" s="79">
        <v>969</v>
      </c>
      <c r="FD71" s="310">
        <v>984</v>
      </c>
      <c r="FE71" s="95">
        <v>576</v>
      </c>
      <c r="FF71" s="95">
        <v>623</v>
      </c>
      <c r="FG71" s="95">
        <v>513</v>
      </c>
      <c r="FH71" s="95">
        <v>400</v>
      </c>
      <c r="FI71" s="95">
        <v>383</v>
      </c>
      <c r="FJ71" s="95">
        <v>279</v>
      </c>
      <c r="FK71" s="95">
        <v>150</v>
      </c>
      <c r="FL71" s="95">
        <v>144</v>
      </c>
      <c r="FM71" s="95">
        <v>112</v>
      </c>
      <c r="FN71" s="95">
        <v>161</v>
      </c>
      <c r="FO71" s="95">
        <v>112</v>
      </c>
      <c r="FP71" s="310">
        <v>94</v>
      </c>
      <c r="FQ71" s="95">
        <v>143</v>
      </c>
      <c r="FR71" s="95">
        <v>103</v>
      </c>
      <c r="FS71" s="95">
        <v>85</v>
      </c>
      <c r="FT71" s="95">
        <v>81</v>
      </c>
      <c r="FU71" s="95">
        <v>75</v>
      </c>
      <c r="FV71" s="95">
        <v>57</v>
      </c>
      <c r="FW71" s="95">
        <v>22</v>
      </c>
      <c r="FX71" s="95">
        <v>0</v>
      </c>
      <c r="FY71" s="95">
        <v>0</v>
      </c>
      <c r="FZ71" s="95">
        <v>0</v>
      </c>
      <c r="GA71" s="311">
        <v>0</v>
      </c>
      <c r="GB71" s="310">
        <v>0</v>
      </c>
      <c r="GC71" s="95">
        <v>0</v>
      </c>
      <c r="GD71" s="311">
        <v>0</v>
      </c>
      <c r="GE71" s="95">
        <v>0</v>
      </c>
      <c r="GF71" s="95">
        <v>0</v>
      </c>
      <c r="GG71" s="95">
        <v>0</v>
      </c>
      <c r="GH71" s="95">
        <v>0</v>
      </c>
      <c r="GI71" s="311">
        <v>0</v>
      </c>
    </row>
    <row r="72" spans="1:191" ht="15" customHeight="1">
      <c r="A72" s="6"/>
      <c r="B72" s="251" t="s">
        <v>70</v>
      </c>
      <c r="C72" s="73"/>
      <c r="D72" s="73"/>
      <c r="E72" s="73"/>
      <c r="F72" s="73"/>
      <c r="G72" s="73"/>
      <c r="H72" s="73"/>
      <c r="I72" s="73"/>
      <c r="J72" s="73"/>
      <c r="K72" s="73"/>
      <c r="L72" s="73"/>
      <c r="M72" s="73"/>
      <c r="N72" s="73"/>
      <c r="O72" s="73"/>
      <c r="P72" s="73"/>
      <c r="Q72" s="73"/>
      <c r="R72" s="73"/>
      <c r="S72" s="73"/>
      <c r="T72" s="73"/>
      <c r="U72" s="73"/>
      <c r="V72" s="73">
        <v>629</v>
      </c>
      <c r="W72" s="73">
        <v>1039</v>
      </c>
      <c r="X72" s="73">
        <v>1023</v>
      </c>
      <c r="Y72" s="81">
        <v>1008</v>
      </c>
      <c r="Z72" s="81">
        <v>1007</v>
      </c>
      <c r="AA72" s="81">
        <v>1082</v>
      </c>
      <c r="AB72" s="81">
        <v>1437</v>
      </c>
      <c r="AC72" s="81">
        <v>1522</v>
      </c>
      <c r="AD72" s="81">
        <v>1359</v>
      </c>
      <c r="AE72" s="81">
        <v>1527</v>
      </c>
      <c r="AF72" s="79">
        <v>1529</v>
      </c>
      <c r="AG72" s="79">
        <v>1405</v>
      </c>
      <c r="AH72" s="79">
        <v>1462</v>
      </c>
      <c r="AI72" s="79">
        <v>1708</v>
      </c>
      <c r="AJ72" s="79">
        <v>1779</v>
      </c>
      <c r="AK72" s="79">
        <v>1756</v>
      </c>
      <c r="AL72" s="79">
        <v>1858</v>
      </c>
      <c r="AM72" s="79">
        <v>3066</v>
      </c>
      <c r="AN72" s="79">
        <v>2906</v>
      </c>
      <c r="AO72" s="79">
        <v>2598</v>
      </c>
      <c r="AP72" s="79">
        <v>2731</v>
      </c>
      <c r="AQ72" s="79">
        <v>2910</v>
      </c>
      <c r="AR72" s="79">
        <v>2744</v>
      </c>
      <c r="AS72" s="79">
        <v>2747</v>
      </c>
      <c r="AT72" s="79">
        <v>2616</v>
      </c>
      <c r="AU72" s="79">
        <v>2728</v>
      </c>
      <c r="AV72" s="79">
        <v>427</v>
      </c>
      <c r="AW72" s="79">
        <v>420</v>
      </c>
      <c r="AX72" s="79">
        <v>476</v>
      </c>
      <c r="AY72" s="79">
        <v>539</v>
      </c>
      <c r="AZ72" s="79">
        <v>552</v>
      </c>
      <c r="BA72" s="79">
        <v>612</v>
      </c>
      <c r="BB72" s="79">
        <v>419</v>
      </c>
      <c r="BC72" s="79">
        <v>739</v>
      </c>
      <c r="BD72" s="79">
        <v>594</v>
      </c>
      <c r="BE72" s="79">
        <v>533</v>
      </c>
      <c r="BF72" s="79">
        <v>571</v>
      </c>
      <c r="BG72" s="79">
        <v>603</v>
      </c>
      <c r="BH72" s="79">
        <v>1644</v>
      </c>
      <c r="BI72" s="81">
        <v>1678</v>
      </c>
      <c r="BJ72" s="81">
        <v>1075</v>
      </c>
      <c r="BK72" s="79">
        <v>1106</v>
      </c>
      <c r="BL72" s="78">
        <v>2148</v>
      </c>
      <c r="BM72" s="78">
        <v>2058</v>
      </c>
      <c r="BN72" s="79">
        <v>0</v>
      </c>
      <c r="BO72" s="79">
        <v>0</v>
      </c>
      <c r="BP72" s="79">
        <v>0</v>
      </c>
      <c r="BQ72" s="79">
        <v>0</v>
      </c>
      <c r="BR72" s="79">
        <v>0</v>
      </c>
      <c r="BS72" s="79">
        <v>0</v>
      </c>
      <c r="BT72" s="79">
        <v>0</v>
      </c>
      <c r="BU72" s="79">
        <v>0</v>
      </c>
      <c r="BV72" s="79">
        <v>0</v>
      </c>
      <c r="BW72" s="79">
        <v>0</v>
      </c>
      <c r="BX72" s="79">
        <v>0</v>
      </c>
      <c r="BY72" s="79">
        <v>0</v>
      </c>
      <c r="BZ72" s="79">
        <v>0</v>
      </c>
      <c r="CA72" s="79">
        <v>0</v>
      </c>
      <c r="CB72" s="79">
        <v>0</v>
      </c>
      <c r="CC72" s="79">
        <v>0</v>
      </c>
      <c r="CD72" s="79">
        <v>0</v>
      </c>
      <c r="CE72" s="79">
        <v>0</v>
      </c>
      <c r="CF72" s="79">
        <v>0</v>
      </c>
      <c r="CG72" s="79">
        <v>0</v>
      </c>
      <c r="CH72" s="79">
        <v>0</v>
      </c>
      <c r="CI72" s="79">
        <v>0</v>
      </c>
      <c r="CJ72" s="79">
        <v>0</v>
      </c>
      <c r="CK72" s="79">
        <v>0</v>
      </c>
      <c r="CL72" s="79">
        <v>0</v>
      </c>
      <c r="CM72" s="79">
        <v>0</v>
      </c>
      <c r="CN72" s="79">
        <v>0</v>
      </c>
      <c r="CO72" s="79">
        <v>0</v>
      </c>
      <c r="CP72" s="79">
        <v>0</v>
      </c>
      <c r="CQ72" s="79">
        <v>0</v>
      </c>
      <c r="CR72" s="79">
        <v>0</v>
      </c>
      <c r="CS72" s="79">
        <v>0</v>
      </c>
      <c r="CT72" s="79">
        <v>0</v>
      </c>
      <c r="CU72" s="79">
        <v>0</v>
      </c>
      <c r="CV72" s="79">
        <v>0</v>
      </c>
      <c r="CW72" s="79">
        <v>0</v>
      </c>
      <c r="CX72" s="79">
        <v>0</v>
      </c>
      <c r="CY72" s="79">
        <v>0</v>
      </c>
      <c r="CZ72" s="79">
        <v>0</v>
      </c>
      <c r="DA72" s="79">
        <v>0</v>
      </c>
      <c r="DB72" s="79">
        <v>0</v>
      </c>
      <c r="DC72" s="79">
        <v>0</v>
      </c>
      <c r="DD72" s="83">
        <v>0</v>
      </c>
      <c r="DE72" s="83">
        <v>0</v>
      </c>
      <c r="DF72" s="83">
        <v>0</v>
      </c>
      <c r="DG72" s="83">
        <v>0</v>
      </c>
      <c r="DH72" s="83">
        <v>0</v>
      </c>
      <c r="DI72" s="83">
        <v>0</v>
      </c>
      <c r="DJ72" s="83">
        <v>0</v>
      </c>
      <c r="DK72" s="83">
        <v>0</v>
      </c>
      <c r="DL72" s="83">
        <v>0</v>
      </c>
      <c r="DM72" s="83">
        <v>0</v>
      </c>
      <c r="DN72" s="83">
        <v>0</v>
      </c>
      <c r="DO72" s="83">
        <v>0</v>
      </c>
      <c r="DP72" s="83">
        <v>0</v>
      </c>
      <c r="DQ72" s="83">
        <v>0</v>
      </c>
      <c r="DR72" s="83">
        <v>0</v>
      </c>
      <c r="DS72" s="83">
        <v>0</v>
      </c>
      <c r="DT72" s="151">
        <v>0</v>
      </c>
      <c r="DU72" s="150">
        <v>0</v>
      </c>
      <c r="DV72" s="150">
        <v>0</v>
      </c>
      <c r="DW72" s="150">
        <v>0</v>
      </c>
      <c r="DX72" s="150">
        <v>0</v>
      </c>
      <c r="DY72" s="150">
        <v>0</v>
      </c>
      <c r="DZ72" s="79">
        <v>0</v>
      </c>
      <c r="EA72" s="79">
        <v>0</v>
      </c>
      <c r="EB72" s="79">
        <v>0</v>
      </c>
      <c r="EC72" s="79">
        <v>0</v>
      </c>
      <c r="ED72" s="79">
        <v>0</v>
      </c>
      <c r="EE72" s="79">
        <v>0</v>
      </c>
      <c r="EF72" s="81">
        <v>0</v>
      </c>
      <c r="EG72" s="81">
        <v>0</v>
      </c>
      <c r="EH72" s="79">
        <v>0</v>
      </c>
      <c r="EI72" s="79">
        <v>0</v>
      </c>
      <c r="EJ72" s="79">
        <v>0</v>
      </c>
      <c r="EK72" s="79">
        <v>0</v>
      </c>
      <c r="EL72" s="79">
        <v>0</v>
      </c>
      <c r="EM72" s="79">
        <v>0</v>
      </c>
      <c r="EN72" s="79">
        <v>0</v>
      </c>
      <c r="EO72" s="79">
        <v>0</v>
      </c>
      <c r="EP72" s="79">
        <v>0</v>
      </c>
      <c r="EQ72" s="79">
        <v>0</v>
      </c>
      <c r="ER72" s="79">
        <v>0</v>
      </c>
      <c r="ES72" s="79">
        <v>0</v>
      </c>
      <c r="ET72" s="79">
        <v>0</v>
      </c>
      <c r="EU72" s="79">
        <v>0</v>
      </c>
      <c r="EV72" s="79">
        <v>0</v>
      </c>
      <c r="EW72" s="79">
        <v>0</v>
      </c>
      <c r="EX72" s="79">
        <v>0</v>
      </c>
      <c r="EY72" s="79">
        <v>808</v>
      </c>
      <c r="EZ72" s="79">
        <v>1005</v>
      </c>
      <c r="FA72" s="79">
        <v>1252</v>
      </c>
      <c r="FB72" s="79">
        <v>1253</v>
      </c>
      <c r="FC72" s="79">
        <v>1291</v>
      </c>
      <c r="FD72" s="310">
        <v>1263</v>
      </c>
      <c r="FE72" s="95">
        <v>1709</v>
      </c>
      <c r="FF72" s="95">
        <v>1461</v>
      </c>
      <c r="FG72" s="95">
        <v>1713</v>
      </c>
      <c r="FH72" s="95">
        <v>1998</v>
      </c>
      <c r="FI72" s="95">
        <v>2039</v>
      </c>
      <c r="FJ72" s="95">
        <v>2272</v>
      </c>
      <c r="FK72" s="95">
        <v>2451</v>
      </c>
      <c r="FL72" s="95">
        <v>2405</v>
      </c>
      <c r="FM72" s="95">
        <v>2426</v>
      </c>
      <c r="FN72" s="95">
        <v>1672</v>
      </c>
      <c r="FO72" s="95">
        <v>845</v>
      </c>
      <c r="FP72" s="310">
        <v>1051</v>
      </c>
      <c r="FQ72" s="95">
        <v>924</v>
      </c>
      <c r="FR72" s="95">
        <v>1143</v>
      </c>
      <c r="FS72" s="95">
        <v>1296</v>
      </c>
      <c r="FT72" s="95">
        <v>1301</v>
      </c>
      <c r="FU72" s="95">
        <v>1419</v>
      </c>
      <c r="FV72" s="95">
        <v>1437</v>
      </c>
      <c r="FW72" s="95">
        <v>717</v>
      </c>
      <c r="FX72" s="95">
        <v>1500</v>
      </c>
      <c r="FY72" s="95">
        <v>1621</v>
      </c>
      <c r="FZ72" s="95">
        <v>388</v>
      </c>
      <c r="GA72" s="311">
        <v>389</v>
      </c>
      <c r="GB72" s="310">
        <v>374</v>
      </c>
      <c r="GC72" s="95">
        <v>298</v>
      </c>
      <c r="GD72" s="311">
        <v>237</v>
      </c>
      <c r="GE72" s="49">
        <v>270</v>
      </c>
      <c r="GF72" s="3">
        <v>238</v>
      </c>
      <c r="GG72" s="3">
        <v>255</v>
      </c>
      <c r="GH72" s="3">
        <v>283</v>
      </c>
      <c r="GI72" s="132">
        <v>243</v>
      </c>
    </row>
    <row r="73" spans="1:191" ht="15" customHeight="1">
      <c r="A73" s="6"/>
      <c r="B73" s="248" t="s">
        <v>152</v>
      </c>
      <c r="C73" s="73"/>
      <c r="D73" s="73"/>
      <c r="E73" s="73"/>
      <c r="F73" s="73"/>
      <c r="G73" s="73"/>
      <c r="H73" s="73"/>
      <c r="I73" s="73"/>
      <c r="J73" s="73"/>
      <c r="K73" s="73"/>
      <c r="L73" s="73"/>
      <c r="M73" s="73"/>
      <c r="N73" s="73"/>
      <c r="O73" s="73"/>
      <c r="P73" s="73"/>
      <c r="Q73" s="73"/>
      <c r="R73" s="73"/>
      <c r="S73" s="73"/>
      <c r="T73" s="73"/>
      <c r="U73" s="73"/>
      <c r="V73" s="73"/>
      <c r="W73" s="73"/>
      <c r="X73" s="73"/>
      <c r="Y73" s="81"/>
      <c r="Z73" s="81"/>
      <c r="AA73" s="81"/>
      <c r="AB73" s="81"/>
      <c r="AC73" s="81"/>
      <c r="AD73" s="73">
        <v>180</v>
      </c>
      <c r="AE73" s="73">
        <v>180</v>
      </c>
      <c r="AF73" s="73">
        <v>180</v>
      </c>
      <c r="AG73" s="73">
        <v>180</v>
      </c>
      <c r="AH73" s="73">
        <v>360</v>
      </c>
      <c r="AI73" s="73">
        <v>460</v>
      </c>
      <c r="AJ73" s="73">
        <v>660</v>
      </c>
      <c r="AK73" s="73">
        <v>1140</v>
      </c>
      <c r="AL73" s="73">
        <v>1340</v>
      </c>
      <c r="AM73" s="73">
        <v>1720</v>
      </c>
      <c r="AN73" s="73">
        <v>2320</v>
      </c>
      <c r="AO73" s="73">
        <v>2475</v>
      </c>
      <c r="AP73" s="83">
        <v>2226</v>
      </c>
      <c r="AQ73" s="83">
        <v>2353</v>
      </c>
      <c r="AR73" s="83">
        <v>2629</v>
      </c>
      <c r="AS73" s="83">
        <v>3090</v>
      </c>
      <c r="AT73" s="83">
        <v>3195</v>
      </c>
      <c r="AU73" s="83">
        <v>3540</v>
      </c>
      <c r="AV73" s="83">
        <v>3787</v>
      </c>
      <c r="AW73" s="83">
        <v>3800</v>
      </c>
      <c r="AX73" s="83">
        <v>3558</v>
      </c>
      <c r="AY73" s="83">
        <v>2875</v>
      </c>
      <c r="AZ73" s="83">
        <v>2277</v>
      </c>
      <c r="BA73" s="83">
        <v>1918</v>
      </c>
      <c r="BB73" s="83">
        <v>1773</v>
      </c>
      <c r="BC73" s="83">
        <v>1861</v>
      </c>
      <c r="BD73" s="83">
        <v>1927</v>
      </c>
      <c r="BE73" s="83">
        <v>2045</v>
      </c>
      <c r="BF73" s="83">
        <v>2319</v>
      </c>
      <c r="BG73" s="83">
        <v>2656</v>
      </c>
      <c r="BH73" s="83">
        <v>2810</v>
      </c>
      <c r="BI73" s="81">
        <v>2667</v>
      </c>
      <c r="BJ73" s="81">
        <v>2633</v>
      </c>
      <c r="BK73" s="79">
        <v>2316</v>
      </c>
      <c r="BL73" s="78">
        <v>2016</v>
      </c>
      <c r="BM73" s="78">
        <v>1838</v>
      </c>
      <c r="BN73" s="78">
        <v>1548</v>
      </c>
      <c r="BO73" s="85">
        <v>1486</v>
      </c>
      <c r="BP73" s="78">
        <v>1320</v>
      </c>
      <c r="BQ73" s="78">
        <v>1520</v>
      </c>
      <c r="BR73" s="85">
        <v>1440</v>
      </c>
      <c r="BS73" s="85">
        <v>1440</v>
      </c>
      <c r="BT73" s="85">
        <v>1340</v>
      </c>
      <c r="BU73" s="85">
        <v>1340</v>
      </c>
      <c r="BV73" s="85">
        <v>1340</v>
      </c>
      <c r="BW73" s="85">
        <v>1200</v>
      </c>
      <c r="BX73" s="85">
        <v>1200</v>
      </c>
      <c r="BY73" s="85">
        <v>1200</v>
      </c>
      <c r="BZ73" s="85">
        <v>1300</v>
      </c>
      <c r="CA73" s="78">
        <v>1148</v>
      </c>
      <c r="CB73" s="78">
        <v>963</v>
      </c>
      <c r="CC73" s="78">
        <v>463</v>
      </c>
      <c r="CD73" s="78">
        <v>215</v>
      </c>
      <c r="CE73" s="78">
        <v>100</v>
      </c>
      <c r="CF73" s="78">
        <v>400</v>
      </c>
      <c r="CG73" s="78">
        <v>600</v>
      </c>
      <c r="CH73" s="78">
        <v>600</v>
      </c>
      <c r="CI73" s="78">
        <v>400</v>
      </c>
      <c r="CJ73" s="78">
        <v>400</v>
      </c>
      <c r="CK73" s="78">
        <v>500</v>
      </c>
      <c r="CL73" s="78">
        <v>700</v>
      </c>
      <c r="CM73" s="78">
        <v>700</v>
      </c>
      <c r="CN73" s="78">
        <v>700</v>
      </c>
      <c r="CO73" s="78">
        <v>600</v>
      </c>
      <c r="CP73" s="78">
        <v>600</v>
      </c>
      <c r="CQ73" s="78">
        <v>600</v>
      </c>
      <c r="CR73" s="78">
        <v>600</v>
      </c>
      <c r="CS73" s="78">
        <v>600</v>
      </c>
      <c r="CT73" s="78">
        <v>500</v>
      </c>
      <c r="CU73" s="78">
        <v>500</v>
      </c>
      <c r="CV73" s="78">
        <v>600</v>
      </c>
      <c r="CW73" s="78">
        <v>950</v>
      </c>
      <c r="CX73" s="78">
        <v>900</v>
      </c>
      <c r="CY73" s="78">
        <v>900</v>
      </c>
      <c r="CZ73" s="78">
        <v>750</v>
      </c>
      <c r="DA73" s="78">
        <v>900</v>
      </c>
      <c r="DB73" s="78">
        <v>950</v>
      </c>
      <c r="DC73" s="68">
        <v>1250</v>
      </c>
      <c r="DD73" s="85">
        <v>1350</v>
      </c>
      <c r="DE73" s="85">
        <v>1060</v>
      </c>
      <c r="DF73" s="85">
        <v>860</v>
      </c>
      <c r="DG73" s="78">
        <v>750</v>
      </c>
      <c r="DH73" s="78">
        <v>593</v>
      </c>
      <c r="DI73" s="78">
        <v>668</v>
      </c>
      <c r="DJ73" s="25">
        <v>778</v>
      </c>
      <c r="DK73" s="25">
        <v>1075</v>
      </c>
      <c r="DL73" s="81">
        <v>1380</v>
      </c>
      <c r="DM73" s="81">
        <v>1380</v>
      </c>
      <c r="DN73" s="81">
        <v>780</v>
      </c>
      <c r="DO73" s="81">
        <v>400</v>
      </c>
      <c r="DP73" s="81">
        <v>200</v>
      </c>
      <c r="DQ73" s="81">
        <v>579</v>
      </c>
      <c r="DR73" s="81">
        <v>809</v>
      </c>
      <c r="DS73" s="81">
        <v>949</v>
      </c>
      <c r="DT73" s="151">
        <v>958</v>
      </c>
      <c r="DU73" s="151">
        <v>1078</v>
      </c>
      <c r="DV73" s="151">
        <v>1050</v>
      </c>
      <c r="DW73" s="151">
        <v>1062</v>
      </c>
      <c r="DX73" s="151">
        <v>895</v>
      </c>
      <c r="DY73" s="151">
        <v>826</v>
      </c>
      <c r="DZ73" s="79">
        <v>678</v>
      </c>
      <c r="EA73" s="79">
        <v>647</v>
      </c>
      <c r="EB73" s="79">
        <v>617</v>
      </c>
      <c r="EC73" s="79">
        <v>778</v>
      </c>
      <c r="ED73" s="79">
        <v>887</v>
      </c>
      <c r="EE73" s="81">
        <v>859</v>
      </c>
      <c r="EF73" s="81">
        <v>891</v>
      </c>
      <c r="EG73" s="81">
        <v>963</v>
      </c>
      <c r="EH73" s="79">
        <v>987</v>
      </c>
      <c r="EI73" s="79">
        <v>1236</v>
      </c>
      <c r="EJ73" s="79">
        <v>1301</v>
      </c>
      <c r="EK73" s="79">
        <v>1363</v>
      </c>
      <c r="EL73" s="79">
        <v>1202</v>
      </c>
      <c r="EM73" s="79">
        <v>1204</v>
      </c>
      <c r="EN73" s="79">
        <v>1404</v>
      </c>
      <c r="EO73" s="79">
        <v>1404</v>
      </c>
      <c r="EP73" s="79">
        <v>1286</v>
      </c>
      <c r="EQ73" s="79">
        <v>1086</v>
      </c>
      <c r="ER73" s="271">
        <v>686</v>
      </c>
      <c r="ES73" s="78">
        <v>404</v>
      </c>
      <c r="ET73" s="78">
        <v>4</v>
      </c>
      <c r="EU73" s="79">
        <v>0</v>
      </c>
      <c r="EV73" s="79">
        <v>0</v>
      </c>
      <c r="EW73" s="79">
        <v>0</v>
      </c>
      <c r="EX73" s="79">
        <v>0</v>
      </c>
      <c r="EY73" s="79">
        <v>0</v>
      </c>
      <c r="EZ73" s="79">
        <v>50</v>
      </c>
      <c r="FA73" s="79">
        <v>65</v>
      </c>
      <c r="FB73" s="79">
        <v>65</v>
      </c>
      <c r="FC73" s="79">
        <v>65</v>
      </c>
      <c r="FD73" s="310">
        <v>125</v>
      </c>
      <c r="FE73" s="95">
        <v>155</v>
      </c>
      <c r="FF73" s="95">
        <v>105</v>
      </c>
      <c r="FG73" s="95">
        <v>130</v>
      </c>
      <c r="FH73" s="95">
        <v>100</v>
      </c>
      <c r="FI73" s="95">
        <v>130</v>
      </c>
      <c r="FJ73" s="95">
        <v>155</v>
      </c>
      <c r="FK73" s="95">
        <v>175</v>
      </c>
      <c r="FL73" s="95">
        <v>285</v>
      </c>
      <c r="FM73" s="95">
        <v>485</v>
      </c>
      <c r="FN73" s="95">
        <v>645</v>
      </c>
      <c r="FO73" s="95">
        <v>750</v>
      </c>
      <c r="FP73" s="310">
        <v>625</v>
      </c>
      <c r="FQ73" s="95">
        <v>550</v>
      </c>
      <c r="FR73" s="95">
        <v>410</v>
      </c>
      <c r="FS73" s="95">
        <v>210</v>
      </c>
      <c r="FT73" s="95">
        <v>105</v>
      </c>
      <c r="FU73" s="95">
        <v>0</v>
      </c>
      <c r="FV73" s="95">
        <v>0</v>
      </c>
      <c r="FW73" s="95">
        <v>0</v>
      </c>
      <c r="FX73" s="95">
        <v>60</v>
      </c>
      <c r="FY73" s="95">
        <v>115</v>
      </c>
      <c r="FZ73" s="95">
        <v>195</v>
      </c>
      <c r="GA73" s="311">
        <v>265</v>
      </c>
      <c r="GB73" s="310">
        <v>325</v>
      </c>
      <c r="GC73" s="95">
        <v>325</v>
      </c>
      <c r="GD73" s="311">
        <v>285</v>
      </c>
      <c r="GE73" s="49">
        <v>285</v>
      </c>
      <c r="GF73" s="3">
        <v>285</v>
      </c>
      <c r="GG73" s="3">
        <v>285</v>
      </c>
      <c r="GH73" s="3">
        <v>285</v>
      </c>
      <c r="GI73" s="132">
        <v>285</v>
      </c>
    </row>
    <row r="74" spans="1:191" ht="15" customHeight="1">
      <c r="A74" s="6"/>
      <c r="B74" s="248" t="s">
        <v>153</v>
      </c>
      <c r="C74" s="73"/>
      <c r="D74" s="73"/>
      <c r="E74" s="73"/>
      <c r="F74" s="73"/>
      <c r="G74" s="73"/>
      <c r="H74" s="73"/>
      <c r="I74" s="73"/>
      <c r="J74" s="73"/>
      <c r="K74" s="73"/>
      <c r="L74" s="73"/>
      <c r="M74" s="73"/>
      <c r="N74" s="73"/>
      <c r="O74" s="73"/>
      <c r="P74" s="73"/>
      <c r="Q74" s="73"/>
      <c r="R74" s="73"/>
      <c r="S74" s="73"/>
      <c r="T74" s="73"/>
      <c r="U74" s="73"/>
      <c r="V74" s="73"/>
      <c r="W74" s="73"/>
      <c r="X74" s="73"/>
      <c r="Y74" s="81"/>
      <c r="Z74" s="81"/>
      <c r="AA74" s="81"/>
      <c r="AB74" s="81"/>
      <c r="AC74" s="81"/>
      <c r="AD74" s="73"/>
      <c r="AE74" s="73"/>
      <c r="AF74" s="73"/>
      <c r="AG74" s="73"/>
      <c r="AH74" s="73"/>
      <c r="AI74" s="73"/>
      <c r="AJ74" s="73"/>
      <c r="AK74" s="73"/>
      <c r="AL74" s="73"/>
      <c r="AM74" s="73"/>
      <c r="AN74" s="73"/>
      <c r="AO74" s="73"/>
      <c r="AP74" s="83"/>
      <c r="AQ74" s="83"/>
      <c r="AR74" s="83"/>
      <c r="AS74" s="83"/>
      <c r="AT74" s="83"/>
      <c r="AU74" s="83"/>
      <c r="AV74" s="83"/>
      <c r="AW74" s="83"/>
      <c r="AX74" s="83"/>
      <c r="AY74" s="83"/>
      <c r="AZ74" s="83"/>
      <c r="BA74" s="83"/>
      <c r="BB74" s="83"/>
      <c r="BC74" s="83"/>
      <c r="BD74" s="83"/>
      <c r="BE74" s="83"/>
      <c r="BF74" s="83"/>
      <c r="BG74" s="83"/>
      <c r="BH74" s="83"/>
      <c r="BI74" s="81"/>
      <c r="BJ74" s="81"/>
      <c r="BK74" s="79"/>
      <c r="BL74" s="78"/>
      <c r="BM74" s="78"/>
      <c r="BN74" s="78"/>
      <c r="BO74" s="85"/>
      <c r="BP74" s="78"/>
      <c r="BQ74" s="78"/>
      <c r="BR74" s="85"/>
      <c r="BS74" s="85"/>
      <c r="BT74" s="85"/>
      <c r="BU74" s="85"/>
      <c r="BV74" s="85"/>
      <c r="BW74" s="85"/>
      <c r="BX74" s="85"/>
      <c r="BY74" s="85"/>
      <c r="BZ74" s="85"/>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68"/>
      <c r="DD74" s="85"/>
      <c r="DE74" s="85"/>
      <c r="DF74" s="85"/>
      <c r="DG74" s="78"/>
      <c r="DH74" s="78"/>
      <c r="DI74" s="78"/>
      <c r="DJ74" s="25"/>
      <c r="DK74" s="25"/>
      <c r="DL74" s="81"/>
      <c r="DM74" s="81"/>
      <c r="DN74" s="81"/>
      <c r="DO74" s="81"/>
      <c r="DP74" s="81"/>
      <c r="DQ74" s="81"/>
      <c r="DR74" s="81"/>
      <c r="DS74" s="81"/>
      <c r="DT74" s="151"/>
      <c r="DU74" s="151"/>
      <c r="DV74" s="151"/>
      <c r="DW74" s="151"/>
      <c r="DX74" s="151"/>
      <c r="DY74" s="151"/>
      <c r="DZ74" s="79"/>
      <c r="EA74" s="79"/>
      <c r="EB74" s="79"/>
      <c r="EC74" s="79"/>
      <c r="ED74" s="79"/>
      <c r="EE74" s="81"/>
      <c r="EF74" s="81"/>
      <c r="EG74" s="81"/>
      <c r="EH74" s="79"/>
      <c r="EI74" s="79"/>
      <c r="EJ74" s="79"/>
      <c r="EK74" s="79"/>
      <c r="EL74" s="79"/>
      <c r="EM74" s="79"/>
      <c r="EN74" s="79"/>
      <c r="EO74" s="79"/>
      <c r="EP74" s="79"/>
      <c r="EQ74" s="79"/>
      <c r="ER74" s="271"/>
      <c r="ES74" s="78"/>
      <c r="ET74" s="78"/>
      <c r="EU74" s="79"/>
      <c r="EV74" s="79"/>
      <c r="EW74" s="79"/>
      <c r="EX74" s="79"/>
      <c r="EY74" s="79"/>
      <c r="EZ74" s="79"/>
      <c r="FA74" s="79"/>
      <c r="FB74" s="79"/>
      <c r="FC74" s="79"/>
      <c r="FD74" s="310"/>
      <c r="FE74" s="95"/>
      <c r="FF74" s="95"/>
      <c r="FG74" s="95"/>
      <c r="FH74" s="95"/>
      <c r="FI74" s="95"/>
      <c r="FJ74" s="95"/>
      <c r="FK74" s="95"/>
      <c r="FL74" s="95"/>
      <c r="FM74" s="95"/>
      <c r="FN74" s="95"/>
      <c r="FO74" s="95"/>
      <c r="FP74" s="310"/>
      <c r="FQ74" s="95"/>
      <c r="FR74" s="95"/>
      <c r="FS74" s="95"/>
      <c r="FT74" s="95"/>
      <c r="FU74" s="95"/>
      <c r="FV74" s="95"/>
      <c r="FW74" s="95"/>
      <c r="FX74" s="95"/>
      <c r="FY74" s="95"/>
      <c r="FZ74" s="95"/>
      <c r="GA74" s="311"/>
      <c r="GB74" s="310"/>
      <c r="GC74" s="95">
        <v>20</v>
      </c>
      <c r="GD74" s="311">
        <v>20</v>
      </c>
      <c r="GE74" s="49">
        <v>20</v>
      </c>
      <c r="GF74" s="3">
        <v>20</v>
      </c>
      <c r="GG74" s="3">
        <v>20</v>
      </c>
      <c r="GH74" s="3">
        <v>20</v>
      </c>
      <c r="GI74" s="132">
        <v>20</v>
      </c>
    </row>
    <row r="75" spans="1:191" ht="15" customHeight="1">
      <c r="A75" s="6"/>
      <c r="B75" s="243" t="s">
        <v>88</v>
      </c>
      <c r="C75" s="73"/>
      <c r="D75" s="73"/>
      <c r="E75" s="73">
        <v>50</v>
      </c>
      <c r="F75" s="73">
        <v>172</v>
      </c>
      <c r="G75" s="73">
        <v>197</v>
      </c>
      <c r="H75" s="73">
        <v>183</v>
      </c>
      <c r="I75" s="73">
        <v>123</v>
      </c>
      <c r="J75" s="73">
        <v>225</v>
      </c>
      <c r="K75" s="73">
        <v>511</v>
      </c>
      <c r="L75" s="73">
        <v>438</v>
      </c>
      <c r="M75" s="73">
        <v>481</v>
      </c>
      <c r="N75" s="73">
        <v>1875</v>
      </c>
      <c r="O75" s="73">
        <v>1894</v>
      </c>
      <c r="P75" s="73">
        <v>1676</v>
      </c>
      <c r="Q75" s="73">
        <v>1420</v>
      </c>
      <c r="R75" s="73">
        <v>1193</v>
      </c>
      <c r="S75" s="73">
        <v>1173</v>
      </c>
      <c r="T75" s="73">
        <v>607</v>
      </c>
      <c r="U75" s="73">
        <v>720</v>
      </c>
      <c r="V75" s="73">
        <v>674</v>
      </c>
      <c r="W75" s="73">
        <v>498</v>
      </c>
      <c r="X75" s="73">
        <v>381</v>
      </c>
      <c r="Y75" s="81">
        <v>440</v>
      </c>
      <c r="Z75" s="81">
        <v>500</v>
      </c>
      <c r="AA75" s="81">
        <v>723</v>
      </c>
      <c r="AB75" s="81">
        <v>836</v>
      </c>
      <c r="AC75" s="81">
        <v>1108</v>
      </c>
      <c r="AD75" s="83">
        <v>952</v>
      </c>
      <c r="AE75" s="83">
        <v>1251</v>
      </c>
      <c r="AF75" s="83">
        <v>478</v>
      </c>
      <c r="AG75" s="83">
        <v>831</v>
      </c>
      <c r="AH75" s="83">
        <v>441</v>
      </c>
      <c r="AI75" s="83">
        <v>515</v>
      </c>
      <c r="AJ75" s="83">
        <v>408</v>
      </c>
      <c r="AK75" s="83">
        <v>275</v>
      </c>
      <c r="AL75" s="83">
        <v>284</v>
      </c>
      <c r="AM75" s="83">
        <v>471</v>
      </c>
      <c r="AN75" s="83">
        <v>469</v>
      </c>
      <c r="AO75" s="83">
        <v>459</v>
      </c>
      <c r="AP75" s="83">
        <v>745</v>
      </c>
      <c r="AQ75" s="83">
        <v>744</v>
      </c>
      <c r="AR75" s="83">
        <v>1429</v>
      </c>
      <c r="AS75" s="83">
        <v>1411</v>
      </c>
      <c r="AT75" s="83">
        <v>1239</v>
      </c>
      <c r="AU75" s="83">
        <v>943</v>
      </c>
      <c r="AV75" s="83">
        <v>859</v>
      </c>
      <c r="AW75" s="83">
        <v>801</v>
      </c>
      <c r="AX75" s="83">
        <v>758</v>
      </c>
      <c r="AY75" s="83">
        <v>973</v>
      </c>
      <c r="AZ75" s="62">
        <v>772</v>
      </c>
      <c r="BA75" s="79">
        <v>1378</v>
      </c>
      <c r="BB75" s="79">
        <v>1482</v>
      </c>
      <c r="BC75" s="79">
        <v>1108</v>
      </c>
      <c r="BD75" s="79">
        <v>1141</v>
      </c>
      <c r="BE75" s="79">
        <v>1118</v>
      </c>
      <c r="BF75" s="79">
        <v>1434</v>
      </c>
      <c r="BG75" s="79">
        <v>2015</v>
      </c>
      <c r="BH75" s="79">
        <v>1424</v>
      </c>
      <c r="BI75" s="79">
        <v>1414</v>
      </c>
      <c r="BJ75" s="79">
        <v>1394</v>
      </c>
      <c r="BK75" s="79">
        <v>1785</v>
      </c>
      <c r="BL75" s="79">
        <v>1692</v>
      </c>
      <c r="BM75" s="85">
        <v>1724</v>
      </c>
      <c r="BN75" s="85">
        <v>1673</v>
      </c>
      <c r="BO75" s="85">
        <v>1782</v>
      </c>
      <c r="BP75" s="85">
        <v>1289</v>
      </c>
      <c r="BQ75" s="85">
        <v>1386</v>
      </c>
      <c r="BR75" s="85">
        <v>1379</v>
      </c>
      <c r="BS75" s="85">
        <v>1434</v>
      </c>
      <c r="BT75" s="85">
        <v>1368</v>
      </c>
      <c r="BU75" s="85">
        <v>1482</v>
      </c>
      <c r="BV75" s="85">
        <v>1538</v>
      </c>
      <c r="BW75" s="85">
        <v>1567</v>
      </c>
      <c r="BX75" s="85">
        <v>2725</v>
      </c>
      <c r="BY75" s="85">
        <v>2746</v>
      </c>
      <c r="BZ75" s="85">
        <v>3028</v>
      </c>
      <c r="CA75" s="85">
        <v>2911</v>
      </c>
      <c r="CB75" s="85">
        <v>2932</v>
      </c>
      <c r="CC75" s="85">
        <v>2919</v>
      </c>
      <c r="CD75" s="85">
        <v>2947</v>
      </c>
      <c r="CE75" s="85">
        <v>3088</v>
      </c>
      <c r="CF75" s="85">
        <v>2913</v>
      </c>
      <c r="CG75" s="85">
        <v>2793</v>
      </c>
      <c r="CH75" s="85">
        <v>3056</v>
      </c>
      <c r="CI75" s="85">
        <v>3010</v>
      </c>
      <c r="CJ75" s="85">
        <v>2967</v>
      </c>
      <c r="CK75" s="85">
        <v>2920</v>
      </c>
      <c r="CL75" s="85">
        <v>3261</v>
      </c>
      <c r="CM75" s="85">
        <v>3265</v>
      </c>
      <c r="CN75" s="85">
        <v>3166</v>
      </c>
      <c r="CO75" s="85">
        <v>3089</v>
      </c>
      <c r="CP75" s="85">
        <v>3000</v>
      </c>
      <c r="CQ75" s="85">
        <v>3277</v>
      </c>
      <c r="CR75" s="85">
        <v>3108</v>
      </c>
      <c r="CS75" s="85">
        <v>3534</v>
      </c>
      <c r="CT75" s="85">
        <v>3358</v>
      </c>
      <c r="CU75" s="85">
        <v>3329</v>
      </c>
      <c r="CV75" s="85">
        <v>3124</v>
      </c>
      <c r="CW75" s="85">
        <v>2952</v>
      </c>
      <c r="CX75" s="85">
        <v>3028</v>
      </c>
      <c r="CY75" s="85">
        <v>3075</v>
      </c>
      <c r="CZ75" s="85">
        <v>3037</v>
      </c>
      <c r="DA75" s="85">
        <v>3104</v>
      </c>
      <c r="DB75" s="85">
        <v>3208</v>
      </c>
      <c r="DC75" s="85">
        <v>3079</v>
      </c>
      <c r="DD75" s="85">
        <v>3091</v>
      </c>
      <c r="DE75" s="85">
        <v>3208</v>
      </c>
      <c r="DF75" s="85">
        <v>3211</v>
      </c>
      <c r="DG75" s="85">
        <v>3437</v>
      </c>
      <c r="DH75" s="78">
        <v>4734</v>
      </c>
      <c r="DI75" s="78">
        <v>4767</v>
      </c>
      <c r="DJ75" s="81">
        <v>4642</v>
      </c>
      <c r="DK75" s="81">
        <v>4345</v>
      </c>
      <c r="DL75" s="81">
        <v>4518</v>
      </c>
      <c r="DM75" s="81">
        <v>4491</v>
      </c>
      <c r="DN75" s="81">
        <v>4648</v>
      </c>
      <c r="DO75" s="81">
        <v>4494</v>
      </c>
      <c r="DP75" s="81">
        <v>4597</v>
      </c>
      <c r="DQ75" s="81">
        <v>4894</v>
      </c>
      <c r="DR75" s="81">
        <v>4916</v>
      </c>
      <c r="DS75" s="81">
        <v>5521</v>
      </c>
      <c r="DT75" s="151">
        <v>5448</v>
      </c>
      <c r="DU75" s="150">
        <v>5355</v>
      </c>
      <c r="DV75" s="150">
        <v>5052</v>
      </c>
      <c r="DW75" s="150">
        <v>5125</v>
      </c>
      <c r="DX75" s="150">
        <v>4947</v>
      </c>
      <c r="DY75" s="151">
        <v>4849</v>
      </c>
      <c r="DZ75" s="81">
        <v>4488</v>
      </c>
      <c r="EA75" s="79">
        <v>3974</v>
      </c>
      <c r="EB75" s="79">
        <v>4191</v>
      </c>
      <c r="EC75" s="79">
        <v>4355</v>
      </c>
      <c r="ED75" s="79">
        <v>4374</v>
      </c>
      <c r="EE75" s="81">
        <v>4517</v>
      </c>
      <c r="EF75" s="81">
        <v>4803</v>
      </c>
      <c r="EG75" s="81">
        <v>5300</v>
      </c>
      <c r="EH75" s="79">
        <v>6385</v>
      </c>
      <c r="EI75" s="79">
        <v>6214</v>
      </c>
      <c r="EJ75" s="79">
        <v>5977</v>
      </c>
      <c r="EK75" s="79">
        <v>5799</v>
      </c>
      <c r="EL75" s="79">
        <v>5643</v>
      </c>
      <c r="EM75" s="79">
        <v>4749</v>
      </c>
      <c r="EN75" s="79">
        <v>4887</v>
      </c>
      <c r="EO75" s="79">
        <v>4644</v>
      </c>
      <c r="EP75" s="79">
        <v>4526</v>
      </c>
      <c r="EQ75" s="79">
        <v>4253</v>
      </c>
      <c r="ER75" s="271">
        <v>4252</v>
      </c>
      <c r="ES75" s="78">
        <v>4154</v>
      </c>
      <c r="ET75" s="78">
        <v>4001</v>
      </c>
      <c r="EU75" s="78">
        <v>3828</v>
      </c>
      <c r="EV75" s="78">
        <v>4021</v>
      </c>
      <c r="EW75" s="78">
        <v>4001</v>
      </c>
      <c r="EX75" s="78">
        <v>3887</v>
      </c>
      <c r="EY75" s="78">
        <v>3664</v>
      </c>
      <c r="EZ75" s="78">
        <v>3531</v>
      </c>
      <c r="FA75" s="78">
        <v>3367</v>
      </c>
      <c r="FB75" s="78">
        <v>3404</v>
      </c>
      <c r="FC75" s="78">
        <v>3241</v>
      </c>
      <c r="FD75" s="118">
        <v>2548</v>
      </c>
      <c r="FE75" s="110">
        <v>2476</v>
      </c>
      <c r="FF75" s="110">
        <v>2393</v>
      </c>
      <c r="FG75" s="110">
        <v>2373</v>
      </c>
      <c r="FH75" s="110">
        <v>2756</v>
      </c>
      <c r="FI75" s="110">
        <v>2735</v>
      </c>
      <c r="FJ75" s="110">
        <v>2800</v>
      </c>
      <c r="FK75" s="110">
        <v>2822</v>
      </c>
      <c r="FL75" s="110">
        <v>2782</v>
      </c>
      <c r="FM75" s="110">
        <v>2845</v>
      </c>
      <c r="FN75" s="110">
        <v>2877</v>
      </c>
      <c r="FO75" s="110">
        <v>3077</v>
      </c>
      <c r="FP75" s="310">
        <v>2994</v>
      </c>
      <c r="FQ75" s="95">
        <v>3479</v>
      </c>
      <c r="FR75" s="95">
        <v>3381</v>
      </c>
      <c r="FS75" s="95">
        <v>3313</v>
      </c>
      <c r="FT75" s="95">
        <v>3209</v>
      </c>
      <c r="FU75" s="95">
        <v>3142</v>
      </c>
      <c r="FV75" s="95">
        <v>3626</v>
      </c>
      <c r="FW75" s="95">
        <v>3988</v>
      </c>
      <c r="FX75" s="95">
        <v>4247</v>
      </c>
      <c r="FY75" s="95">
        <v>3647</v>
      </c>
      <c r="FZ75" s="95">
        <v>3633</v>
      </c>
      <c r="GA75" s="311">
        <v>3775</v>
      </c>
      <c r="GB75" s="310">
        <v>3948</v>
      </c>
      <c r="GC75" s="95">
        <v>3965</v>
      </c>
      <c r="GD75" s="311">
        <v>3778</v>
      </c>
      <c r="GE75" s="110">
        <v>3937</v>
      </c>
      <c r="GF75" s="110">
        <v>3774</v>
      </c>
      <c r="GG75" s="110">
        <v>3655</v>
      </c>
      <c r="GH75" s="110">
        <v>3671</v>
      </c>
      <c r="GI75" s="320">
        <v>3636</v>
      </c>
    </row>
    <row r="76" spans="1:191" ht="15" customHeight="1">
      <c r="A76" s="6"/>
      <c r="B76" s="245" t="s">
        <v>103</v>
      </c>
      <c r="C76" s="67">
        <f aca="true" t="shared" si="105" ref="C76:AV76">C77+C79+C80</f>
        <v>0</v>
      </c>
      <c r="D76" s="67">
        <f t="shared" si="105"/>
        <v>0</v>
      </c>
      <c r="E76" s="67">
        <f t="shared" si="105"/>
        <v>0</v>
      </c>
      <c r="F76" s="67">
        <f t="shared" si="105"/>
        <v>0</v>
      </c>
      <c r="G76" s="67">
        <f t="shared" si="105"/>
        <v>0</v>
      </c>
      <c r="H76" s="67">
        <f t="shared" si="105"/>
        <v>0</v>
      </c>
      <c r="I76" s="67">
        <f t="shared" si="105"/>
        <v>0</v>
      </c>
      <c r="J76" s="67">
        <f t="shared" si="105"/>
        <v>0</v>
      </c>
      <c r="K76" s="67">
        <f t="shared" si="105"/>
        <v>0</v>
      </c>
      <c r="L76" s="67">
        <f t="shared" si="105"/>
        <v>0</v>
      </c>
      <c r="M76" s="67">
        <f t="shared" si="105"/>
        <v>0</v>
      </c>
      <c r="N76" s="67">
        <f t="shared" si="105"/>
        <v>0</v>
      </c>
      <c r="O76" s="67">
        <f t="shared" si="105"/>
        <v>0</v>
      </c>
      <c r="P76" s="67">
        <f>P77+P79+P80</f>
        <v>0</v>
      </c>
      <c r="Q76" s="67">
        <f t="shared" si="105"/>
        <v>0</v>
      </c>
      <c r="R76" s="67">
        <f t="shared" si="105"/>
        <v>240</v>
      </c>
      <c r="S76" s="67">
        <f t="shared" si="105"/>
        <v>299</v>
      </c>
      <c r="T76" s="67">
        <f t="shared" si="105"/>
        <v>810</v>
      </c>
      <c r="U76" s="67">
        <f t="shared" si="105"/>
        <v>929</v>
      </c>
      <c r="V76" s="67">
        <f t="shared" si="105"/>
        <v>876</v>
      </c>
      <c r="W76" s="67">
        <f t="shared" si="105"/>
        <v>914</v>
      </c>
      <c r="X76" s="67">
        <f t="shared" si="105"/>
        <v>646</v>
      </c>
      <c r="Y76" s="67">
        <f t="shared" si="105"/>
        <v>946</v>
      </c>
      <c r="Z76" s="67">
        <f t="shared" si="105"/>
        <v>1072</v>
      </c>
      <c r="AA76" s="67">
        <f t="shared" si="105"/>
        <v>755</v>
      </c>
      <c r="AB76" s="67">
        <f t="shared" si="105"/>
        <v>915</v>
      </c>
      <c r="AC76" s="67">
        <f t="shared" si="105"/>
        <v>903</v>
      </c>
      <c r="AD76" s="67">
        <f t="shared" si="105"/>
        <v>1185</v>
      </c>
      <c r="AE76" s="67">
        <f t="shared" si="105"/>
        <v>1179</v>
      </c>
      <c r="AF76" s="73">
        <f t="shared" si="105"/>
        <v>1092</v>
      </c>
      <c r="AG76" s="73">
        <f t="shared" si="105"/>
        <v>1109</v>
      </c>
      <c r="AH76" s="73">
        <f t="shared" si="105"/>
        <v>1791</v>
      </c>
      <c r="AI76" s="73">
        <f t="shared" si="105"/>
        <v>1599</v>
      </c>
      <c r="AJ76" s="73">
        <f t="shared" si="105"/>
        <v>1661</v>
      </c>
      <c r="AK76" s="73">
        <f t="shared" si="105"/>
        <v>1632</v>
      </c>
      <c r="AL76" s="73">
        <f t="shared" si="105"/>
        <v>1515</v>
      </c>
      <c r="AM76" s="73">
        <f t="shared" si="105"/>
        <v>1440</v>
      </c>
      <c r="AN76" s="73">
        <f t="shared" si="105"/>
        <v>1345</v>
      </c>
      <c r="AO76" s="73">
        <f t="shared" si="105"/>
        <v>1336</v>
      </c>
      <c r="AP76" s="73">
        <f t="shared" si="105"/>
        <v>992</v>
      </c>
      <c r="AQ76" s="73">
        <f t="shared" si="105"/>
        <v>995</v>
      </c>
      <c r="AR76" s="73">
        <f t="shared" si="105"/>
        <v>991</v>
      </c>
      <c r="AS76" s="73">
        <f t="shared" si="105"/>
        <v>971</v>
      </c>
      <c r="AT76" s="73">
        <f t="shared" si="105"/>
        <v>985</v>
      </c>
      <c r="AU76" s="73">
        <f t="shared" si="105"/>
        <v>987</v>
      </c>
      <c r="AV76" s="73">
        <f t="shared" si="105"/>
        <v>943</v>
      </c>
      <c r="AW76" s="83">
        <f aca="true" t="shared" si="106" ref="AW76:CR76">AW78+AW79+AW80</f>
        <v>943</v>
      </c>
      <c r="AX76" s="73">
        <f t="shared" si="106"/>
        <v>943</v>
      </c>
      <c r="AY76" s="73">
        <f t="shared" si="106"/>
        <v>908</v>
      </c>
      <c r="AZ76" s="73">
        <f t="shared" si="106"/>
        <v>1000</v>
      </c>
      <c r="BA76" s="73">
        <f t="shared" si="106"/>
        <v>228</v>
      </c>
      <c r="BB76" s="73">
        <f t="shared" si="106"/>
        <v>220</v>
      </c>
      <c r="BC76" s="73">
        <f t="shared" si="106"/>
        <v>255</v>
      </c>
      <c r="BD76" s="73">
        <f t="shared" si="106"/>
        <v>252</v>
      </c>
      <c r="BE76" s="73">
        <f t="shared" si="106"/>
        <v>241</v>
      </c>
      <c r="BF76" s="73">
        <f t="shared" si="106"/>
        <v>3</v>
      </c>
      <c r="BG76" s="73">
        <f t="shared" si="106"/>
        <v>3</v>
      </c>
      <c r="BH76" s="73">
        <f t="shared" si="106"/>
        <v>10</v>
      </c>
      <c r="BI76" s="73">
        <f t="shared" si="106"/>
        <v>9</v>
      </c>
      <c r="BJ76" s="73">
        <f t="shared" si="106"/>
        <v>98</v>
      </c>
      <c r="BK76" s="73">
        <f t="shared" si="106"/>
        <v>19</v>
      </c>
      <c r="BL76" s="73">
        <f t="shared" si="106"/>
        <v>11</v>
      </c>
      <c r="BM76" s="73">
        <f t="shared" si="106"/>
        <v>10</v>
      </c>
      <c r="BN76" s="73">
        <f t="shared" si="106"/>
        <v>0</v>
      </c>
      <c r="BO76" s="73">
        <f t="shared" si="106"/>
        <v>0</v>
      </c>
      <c r="BP76" s="73">
        <f t="shared" si="106"/>
        <v>0</v>
      </c>
      <c r="BQ76" s="73">
        <f t="shared" si="106"/>
        <v>0</v>
      </c>
      <c r="BR76" s="73">
        <f t="shared" si="106"/>
        <v>0</v>
      </c>
      <c r="BS76" s="73">
        <f t="shared" si="106"/>
        <v>0</v>
      </c>
      <c r="BT76" s="73">
        <f t="shared" si="106"/>
        <v>0</v>
      </c>
      <c r="BU76" s="73">
        <f t="shared" si="106"/>
        <v>0</v>
      </c>
      <c r="BV76" s="73">
        <f t="shared" si="106"/>
        <v>0</v>
      </c>
      <c r="BW76" s="73">
        <f t="shared" si="106"/>
        <v>0</v>
      </c>
      <c r="BX76" s="73">
        <f t="shared" si="106"/>
        <v>0</v>
      </c>
      <c r="BY76" s="73">
        <f t="shared" si="106"/>
        <v>0</v>
      </c>
      <c r="BZ76" s="73">
        <f t="shared" si="106"/>
        <v>0</v>
      </c>
      <c r="CA76" s="73">
        <f t="shared" si="106"/>
        <v>0</v>
      </c>
      <c r="CB76" s="73">
        <f t="shared" si="106"/>
        <v>0</v>
      </c>
      <c r="CC76" s="73">
        <f t="shared" si="106"/>
        <v>0</v>
      </c>
      <c r="CD76" s="73">
        <f t="shared" si="106"/>
        <v>0</v>
      </c>
      <c r="CE76" s="73">
        <f t="shared" si="106"/>
        <v>0</v>
      </c>
      <c r="CF76" s="73">
        <f t="shared" si="106"/>
        <v>0</v>
      </c>
      <c r="CG76" s="73">
        <f t="shared" si="106"/>
        <v>0</v>
      </c>
      <c r="CH76" s="73">
        <f t="shared" si="106"/>
        <v>0</v>
      </c>
      <c r="CI76" s="73">
        <f>CI78+CI79+CI80</f>
        <v>0</v>
      </c>
      <c r="CJ76" s="73">
        <f t="shared" si="106"/>
        <v>0</v>
      </c>
      <c r="CK76" s="73">
        <f t="shared" si="106"/>
        <v>0</v>
      </c>
      <c r="CL76" s="73">
        <f t="shared" si="106"/>
        <v>0</v>
      </c>
      <c r="CM76" s="73">
        <f t="shared" si="106"/>
        <v>0</v>
      </c>
      <c r="CN76" s="73">
        <f t="shared" si="106"/>
        <v>0</v>
      </c>
      <c r="CO76" s="73">
        <f t="shared" si="106"/>
        <v>0</v>
      </c>
      <c r="CP76" s="73">
        <f t="shared" si="106"/>
        <v>0</v>
      </c>
      <c r="CQ76" s="73">
        <f t="shared" si="106"/>
        <v>0</v>
      </c>
      <c r="CR76" s="73">
        <f t="shared" si="106"/>
        <v>0</v>
      </c>
      <c r="CS76" s="73">
        <f aca="true" t="shared" si="107" ref="CS76:CX76">CS78+CS79+CS80</f>
        <v>0</v>
      </c>
      <c r="CT76" s="73">
        <f t="shared" si="107"/>
        <v>0</v>
      </c>
      <c r="CU76" s="73">
        <f t="shared" si="107"/>
        <v>0</v>
      </c>
      <c r="CV76" s="73">
        <f t="shared" si="107"/>
        <v>0</v>
      </c>
      <c r="CW76" s="73">
        <f t="shared" si="107"/>
        <v>0</v>
      </c>
      <c r="CX76" s="73">
        <f t="shared" si="107"/>
        <v>0</v>
      </c>
      <c r="CY76" s="73">
        <f aca="true" t="shared" si="108" ref="CY76:DD76">CY78+CY79+CY80</f>
        <v>0</v>
      </c>
      <c r="CZ76" s="73">
        <f t="shared" si="108"/>
        <v>0</v>
      </c>
      <c r="DA76" s="73">
        <f t="shared" si="108"/>
        <v>0</v>
      </c>
      <c r="DB76" s="73">
        <f t="shared" si="108"/>
        <v>0</v>
      </c>
      <c r="DC76" s="73">
        <f t="shared" si="108"/>
        <v>0</v>
      </c>
      <c r="DD76" s="83">
        <f t="shared" si="108"/>
        <v>0</v>
      </c>
      <c r="DE76" s="83">
        <f aca="true" t="shared" si="109" ref="DE76:DJ76">DE78+DE79+DE80</f>
        <v>0</v>
      </c>
      <c r="DF76" s="83">
        <f t="shared" si="109"/>
        <v>0</v>
      </c>
      <c r="DG76" s="83">
        <f t="shared" si="109"/>
        <v>0</v>
      </c>
      <c r="DH76" s="83">
        <f t="shared" si="109"/>
        <v>0</v>
      </c>
      <c r="DI76" s="83">
        <f t="shared" si="109"/>
        <v>0</v>
      </c>
      <c r="DJ76" s="83">
        <f t="shared" si="109"/>
        <v>0</v>
      </c>
      <c r="DK76" s="83">
        <f>DK78+DK79+DK80</f>
        <v>0</v>
      </c>
      <c r="DL76" s="83">
        <f aca="true" t="shared" si="110" ref="DL76:EJ76">DL78+DL79+DL80</f>
        <v>0</v>
      </c>
      <c r="DM76" s="83">
        <f t="shared" si="110"/>
        <v>0</v>
      </c>
      <c r="DN76" s="83">
        <f t="shared" si="110"/>
        <v>0</v>
      </c>
      <c r="DO76" s="83">
        <f t="shared" si="110"/>
        <v>0</v>
      </c>
      <c r="DP76" s="83">
        <f t="shared" si="110"/>
        <v>0</v>
      </c>
      <c r="DQ76" s="83">
        <f t="shared" si="110"/>
        <v>0</v>
      </c>
      <c r="DR76" s="83">
        <f t="shared" si="110"/>
        <v>0</v>
      </c>
      <c r="DS76" s="83">
        <f t="shared" si="110"/>
        <v>0</v>
      </c>
      <c r="DT76" s="83">
        <f t="shared" si="110"/>
        <v>0</v>
      </c>
      <c r="DU76" s="83">
        <f t="shared" si="110"/>
        <v>0</v>
      </c>
      <c r="DV76" s="83">
        <f t="shared" si="110"/>
        <v>0</v>
      </c>
      <c r="DW76" s="83">
        <f t="shared" si="110"/>
        <v>0</v>
      </c>
      <c r="DX76" s="83">
        <f t="shared" si="110"/>
        <v>0</v>
      </c>
      <c r="DY76" s="83">
        <f t="shared" si="110"/>
        <v>0</v>
      </c>
      <c r="DZ76" s="83">
        <f t="shared" si="110"/>
        <v>0</v>
      </c>
      <c r="EA76" s="83">
        <f t="shared" si="110"/>
        <v>0</v>
      </c>
      <c r="EB76" s="83">
        <f t="shared" si="110"/>
        <v>0</v>
      </c>
      <c r="EC76" s="83">
        <f t="shared" si="110"/>
        <v>0</v>
      </c>
      <c r="ED76" s="83">
        <f t="shared" si="110"/>
        <v>0</v>
      </c>
      <c r="EE76" s="83">
        <f t="shared" si="110"/>
        <v>0</v>
      </c>
      <c r="EF76" s="83">
        <f t="shared" si="110"/>
        <v>0</v>
      </c>
      <c r="EG76" s="83">
        <f t="shared" si="110"/>
        <v>0</v>
      </c>
      <c r="EH76" s="83">
        <f t="shared" si="110"/>
        <v>0</v>
      </c>
      <c r="EI76" s="83">
        <f t="shared" si="110"/>
        <v>0</v>
      </c>
      <c r="EJ76" s="83">
        <f t="shared" si="110"/>
        <v>0</v>
      </c>
      <c r="EK76" s="83">
        <f>EK78+EK79+EK80</f>
        <v>0</v>
      </c>
      <c r="EL76" s="83">
        <f aca="true" t="shared" si="111" ref="EL76:EY76">EL78+EL79+EL80</f>
        <v>0</v>
      </c>
      <c r="EM76" s="83">
        <f t="shared" si="111"/>
        <v>0</v>
      </c>
      <c r="EN76" s="83">
        <f t="shared" si="111"/>
        <v>0</v>
      </c>
      <c r="EO76" s="83">
        <f t="shared" si="111"/>
        <v>0</v>
      </c>
      <c r="EP76" s="83">
        <f t="shared" si="111"/>
        <v>0</v>
      </c>
      <c r="EQ76" s="83">
        <f t="shared" si="111"/>
        <v>0</v>
      </c>
      <c r="ER76" s="83">
        <f t="shared" si="111"/>
        <v>0</v>
      </c>
      <c r="ES76" s="83">
        <f t="shared" si="111"/>
        <v>0</v>
      </c>
      <c r="ET76" s="83">
        <f t="shared" si="111"/>
        <v>0</v>
      </c>
      <c r="EU76" s="83">
        <f t="shared" si="111"/>
        <v>0</v>
      </c>
      <c r="EV76" s="83">
        <f t="shared" si="111"/>
        <v>0</v>
      </c>
      <c r="EW76" s="83">
        <f t="shared" si="111"/>
        <v>0</v>
      </c>
      <c r="EX76" s="83">
        <f t="shared" si="111"/>
        <v>0</v>
      </c>
      <c r="EY76" s="83">
        <f t="shared" si="111"/>
        <v>0</v>
      </c>
      <c r="EZ76" s="83">
        <f aca="true" t="shared" si="112" ref="EZ76:FF76">EZ78+EZ79+EZ80</f>
        <v>0</v>
      </c>
      <c r="FA76" s="83">
        <f t="shared" si="112"/>
        <v>0</v>
      </c>
      <c r="FB76" s="83">
        <f t="shared" si="112"/>
        <v>0</v>
      </c>
      <c r="FC76" s="83">
        <f t="shared" si="112"/>
        <v>0</v>
      </c>
      <c r="FD76" s="325">
        <f t="shared" si="112"/>
        <v>0</v>
      </c>
      <c r="FE76" s="92">
        <f t="shared" si="112"/>
        <v>0</v>
      </c>
      <c r="FF76" s="92">
        <f t="shared" si="112"/>
        <v>0</v>
      </c>
      <c r="FG76" s="92">
        <f aca="true" t="shared" si="113" ref="FG76:FM76">FG78+FG79+FG80</f>
        <v>0</v>
      </c>
      <c r="FH76" s="92">
        <f t="shared" si="113"/>
        <v>0</v>
      </c>
      <c r="FI76" s="92">
        <f t="shared" si="113"/>
        <v>0</v>
      </c>
      <c r="FJ76" s="92">
        <f t="shared" si="113"/>
        <v>0</v>
      </c>
      <c r="FK76" s="92">
        <f t="shared" si="113"/>
        <v>0</v>
      </c>
      <c r="FL76" s="92">
        <f t="shared" si="113"/>
        <v>0</v>
      </c>
      <c r="FM76" s="92">
        <f t="shared" si="113"/>
        <v>0</v>
      </c>
      <c r="FN76" s="92">
        <f aca="true" t="shared" si="114" ref="FN76:FT76">FN78+FN79+FN80</f>
        <v>0</v>
      </c>
      <c r="FO76" s="92">
        <f t="shared" si="114"/>
        <v>0</v>
      </c>
      <c r="FP76" s="325">
        <f t="shared" si="114"/>
        <v>0</v>
      </c>
      <c r="FQ76" s="92">
        <f t="shared" si="114"/>
        <v>0</v>
      </c>
      <c r="FR76" s="92">
        <f t="shared" si="114"/>
        <v>0</v>
      </c>
      <c r="FS76" s="92">
        <f t="shared" si="114"/>
        <v>0</v>
      </c>
      <c r="FT76" s="92">
        <f t="shared" si="114"/>
        <v>0</v>
      </c>
      <c r="FU76" s="92">
        <f aca="true" t="shared" si="115" ref="FU76:FZ76">FU78+FU79+FU80</f>
        <v>0</v>
      </c>
      <c r="FV76" s="92">
        <f t="shared" si="115"/>
        <v>0</v>
      </c>
      <c r="FW76" s="92">
        <f t="shared" si="115"/>
        <v>0</v>
      </c>
      <c r="FX76" s="92">
        <f t="shared" si="115"/>
        <v>0</v>
      </c>
      <c r="FY76" s="92">
        <f>FY78+FY79+FY80</f>
        <v>0</v>
      </c>
      <c r="FZ76" s="92">
        <f t="shared" si="115"/>
        <v>0</v>
      </c>
      <c r="GA76" s="394">
        <f aca="true" t="shared" si="116" ref="GA76:GI76">GA78+GA79+GA80</f>
        <v>0</v>
      </c>
      <c r="GB76" s="325">
        <f t="shared" si="116"/>
        <v>0</v>
      </c>
      <c r="GC76" s="92">
        <f t="shared" si="116"/>
        <v>111</v>
      </c>
      <c r="GD76" s="394">
        <f t="shared" si="116"/>
        <v>144</v>
      </c>
      <c r="GE76" s="92">
        <f t="shared" si="116"/>
        <v>144</v>
      </c>
      <c r="GF76" s="92">
        <f t="shared" si="116"/>
        <v>144</v>
      </c>
      <c r="GG76" s="92">
        <f t="shared" si="116"/>
        <v>155</v>
      </c>
      <c r="GH76" s="92">
        <f t="shared" si="116"/>
        <v>155</v>
      </c>
      <c r="GI76" s="394">
        <f t="shared" si="116"/>
        <v>175</v>
      </c>
    </row>
    <row r="77" spans="1:191" ht="15" customHeight="1">
      <c r="A77" s="6"/>
      <c r="B77" s="245" t="s">
        <v>58</v>
      </c>
      <c r="C77" s="80"/>
      <c r="D77" s="80"/>
      <c r="E77" s="80"/>
      <c r="F77" s="67"/>
      <c r="G77" s="67"/>
      <c r="H77" s="67"/>
      <c r="I77" s="67"/>
      <c r="J77" s="67"/>
      <c r="K77" s="67"/>
      <c r="L77" s="67"/>
      <c r="M77" s="67"/>
      <c r="N77" s="80"/>
      <c r="O77" s="80"/>
      <c r="P77" s="80"/>
      <c r="Q77" s="80"/>
      <c r="R77" s="80">
        <v>240</v>
      </c>
      <c r="S77" s="80">
        <v>299</v>
      </c>
      <c r="T77" s="80">
        <v>810</v>
      </c>
      <c r="U77" s="80">
        <v>929</v>
      </c>
      <c r="V77" s="80">
        <v>876</v>
      </c>
      <c r="W77" s="80">
        <v>619</v>
      </c>
      <c r="X77" s="80">
        <v>604</v>
      </c>
      <c r="Y77" s="81">
        <v>607</v>
      </c>
      <c r="Z77" s="81">
        <v>725</v>
      </c>
      <c r="AA77" s="81">
        <v>702</v>
      </c>
      <c r="AB77" s="81">
        <v>572</v>
      </c>
      <c r="AC77" s="81">
        <v>547</v>
      </c>
      <c r="AD77" s="25">
        <v>812</v>
      </c>
      <c r="AE77" s="25">
        <v>820</v>
      </c>
      <c r="AF77" s="79">
        <v>741</v>
      </c>
      <c r="AG77" s="79">
        <v>756</v>
      </c>
      <c r="AH77" s="79">
        <v>923</v>
      </c>
      <c r="AI77" s="81">
        <v>690</v>
      </c>
      <c r="AJ77" s="81">
        <v>673</v>
      </c>
      <c r="AK77" s="81">
        <v>654</v>
      </c>
      <c r="AL77" s="81">
        <v>604</v>
      </c>
      <c r="AM77" s="81">
        <v>557</v>
      </c>
      <c r="AN77" s="81">
        <v>517</v>
      </c>
      <c r="AO77" s="81">
        <v>517</v>
      </c>
      <c r="AP77" s="81">
        <v>187</v>
      </c>
      <c r="AQ77" s="81">
        <v>190</v>
      </c>
      <c r="AR77" s="81">
        <v>192</v>
      </c>
      <c r="AS77" s="81">
        <v>184</v>
      </c>
      <c r="AT77" s="81">
        <v>203</v>
      </c>
      <c r="AU77" s="81">
        <v>211</v>
      </c>
      <c r="AV77" s="81">
        <v>171</v>
      </c>
      <c r="AW77" s="62"/>
      <c r="AX77" s="62"/>
      <c r="AY77" s="79"/>
      <c r="AZ77" s="25"/>
      <c r="BA77" s="25"/>
      <c r="BB77" s="25"/>
      <c r="BC77" s="25"/>
      <c r="BD77" s="25"/>
      <c r="BE77" s="62"/>
      <c r="BF77" s="62"/>
      <c r="BG77" s="62"/>
      <c r="BH77" s="62"/>
      <c r="BI77" s="62"/>
      <c r="BJ77" s="62"/>
      <c r="BK77" s="62"/>
      <c r="BL77" s="62"/>
      <c r="BM77" s="62"/>
      <c r="BN77" s="62"/>
      <c r="BO77" s="62"/>
      <c r="BP77" s="62"/>
      <c r="BQ77" s="62"/>
      <c r="BR77" s="62"/>
      <c r="BS77" s="62"/>
      <c r="BT77" s="62"/>
      <c r="BU77" s="62"/>
      <c r="BV77" s="62"/>
      <c r="BW77" s="62"/>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81"/>
      <c r="DO77" s="81"/>
      <c r="DP77" s="81"/>
      <c r="DQ77" s="81"/>
      <c r="DR77" s="81"/>
      <c r="DS77" s="81"/>
      <c r="DT77" s="151"/>
      <c r="DU77" s="150"/>
      <c r="DV77" s="150"/>
      <c r="DW77" s="150"/>
      <c r="DX77" s="150"/>
      <c r="DY77" s="150"/>
      <c r="DZ77" s="81"/>
      <c r="EA77" s="81"/>
      <c r="EB77" s="81"/>
      <c r="EC77" s="81"/>
      <c r="ED77" s="81"/>
      <c r="EE77" s="81"/>
      <c r="EF77" s="81"/>
      <c r="EG77" s="81"/>
      <c r="EH77" s="79"/>
      <c r="EI77" s="79"/>
      <c r="EJ77" s="79"/>
      <c r="EK77" s="79"/>
      <c r="EL77" s="79"/>
      <c r="EM77" s="79"/>
      <c r="EN77" s="79"/>
      <c r="EO77" s="79"/>
      <c r="EP77" s="79"/>
      <c r="EQ77" s="79"/>
      <c r="ER77" s="79"/>
      <c r="ES77" s="25"/>
      <c r="ET77" s="25"/>
      <c r="EU77" s="25"/>
      <c r="EV77" s="25"/>
      <c r="EW77" s="25"/>
      <c r="EX77" s="25"/>
      <c r="EY77" s="25"/>
      <c r="EZ77" s="25"/>
      <c r="FA77" s="25"/>
      <c r="FB77" s="25"/>
      <c r="FC77" s="25"/>
      <c r="FD77" s="117"/>
      <c r="FP77" s="117"/>
      <c r="GA77" s="132"/>
      <c r="GB77" s="117"/>
      <c r="GD77" s="132"/>
      <c r="GE77" s="3"/>
      <c r="GF77" s="3"/>
      <c r="GG77" s="3"/>
      <c r="GH77" s="3"/>
      <c r="GI77" s="132"/>
    </row>
    <row r="78" spans="1:191" ht="15" customHeight="1">
      <c r="A78" s="6"/>
      <c r="B78" s="253" t="s">
        <v>82</v>
      </c>
      <c r="C78" s="80"/>
      <c r="D78" s="80"/>
      <c r="E78" s="80"/>
      <c r="F78" s="67"/>
      <c r="G78" s="67"/>
      <c r="H78" s="67"/>
      <c r="I78" s="67"/>
      <c r="J78" s="67"/>
      <c r="K78" s="67"/>
      <c r="L78" s="67"/>
      <c r="M78" s="67"/>
      <c r="N78" s="80"/>
      <c r="O78" s="80"/>
      <c r="P78" s="80"/>
      <c r="Q78" s="80"/>
      <c r="R78" s="80"/>
      <c r="S78" s="80"/>
      <c r="T78" s="80"/>
      <c r="U78" s="80"/>
      <c r="V78" s="80"/>
      <c r="W78" s="80"/>
      <c r="X78" s="80"/>
      <c r="Y78" s="81"/>
      <c r="Z78" s="81"/>
      <c r="AA78" s="81"/>
      <c r="AB78" s="81"/>
      <c r="AC78" s="81"/>
      <c r="AD78" s="25"/>
      <c r="AE78" s="25"/>
      <c r="AF78" s="79"/>
      <c r="AG78" s="79"/>
      <c r="AH78" s="79"/>
      <c r="AI78" s="81"/>
      <c r="AJ78" s="81"/>
      <c r="AK78" s="81"/>
      <c r="AL78" s="81"/>
      <c r="AM78" s="81"/>
      <c r="AN78" s="81"/>
      <c r="AO78" s="81"/>
      <c r="AP78" s="81"/>
      <c r="AQ78" s="81"/>
      <c r="AR78" s="81"/>
      <c r="AS78" s="81"/>
      <c r="AT78" s="81"/>
      <c r="AU78" s="81"/>
      <c r="AV78" s="81"/>
      <c r="AW78" s="79">
        <v>171</v>
      </c>
      <c r="AX78" s="81">
        <v>180</v>
      </c>
      <c r="AY78" s="81">
        <v>149</v>
      </c>
      <c r="AZ78" s="25">
        <v>249</v>
      </c>
      <c r="BA78" s="25">
        <v>143</v>
      </c>
      <c r="BB78" s="25">
        <v>136</v>
      </c>
      <c r="BC78" s="25">
        <v>131</v>
      </c>
      <c r="BD78" s="25">
        <v>128</v>
      </c>
      <c r="BE78" s="25">
        <v>117</v>
      </c>
      <c r="BF78" s="62">
        <v>3</v>
      </c>
      <c r="BG78" s="62">
        <v>3</v>
      </c>
      <c r="BH78" s="62">
        <v>10</v>
      </c>
      <c r="BI78" s="25">
        <v>9</v>
      </c>
      <c r="BJ78" s="25">
        <v>92</v>
      </c>
      <c r="BK78" s="25">
        <v>13</v>
      </c>
      <c r="BL78" s="25">
        <v>5</v>
      </c>
      <c r="BM78" s="25">
        <v>5</v>
      </c>
      <c r="BN78" s="79">
        <v>0</v>
      </c>
      <c r="BO78" s="79">
        <v>0</v>
      </c>
      <c r="BP78" s="79">
        <v>0</v>
      </c>
      <c r="BQ78" s="79">
        <v>0</v>
      </c>
      <c r="BR78" s="79">
        <v>0</v>
      </c>
      <c r="BS78" s="79">
        <v>0</v>
      </c>
      <c r="BT78" s="79">
        <v>0</v>
      </c>
      <c r="BU78" s="79">
        <v>0</v>
      </c>
      <c r="BV78" s="79">
        <v>0</v>
      </c>
      <c r="BW78" s="79">
        <v>0</v>
      </c>
      <c r="BX78" s="79">
        <v>0</v>
      </c>
      <c r="BY78" s="79">
        <v>0</v>
      </c>
      <c r="BZ78" s="79">
        <v>0</v>
      </c>
      <c r="CA78" s="79">
        <v>0</v>
      </c>
      <c r="CB78" s="79">
        <v>0</v>
      </c>
      <c r="CC78" s="79">
        <v>0</v>
      </c>
      <c r="CD78" s="79">
        <v>0</v>
      </c>
      <c r="CE78" s="79">
        <v>0</v>
      </c>
      <c r="CF78" s="79">
        <v>0</v>
      </c>
      <c r="CG78" s="79">
        <v>0</v>
      </c>
      <c r="CH78" s="79">
        <v>0</v>
      </c>
      <c r="CI78" s="79">
        <v>0</v>
      </c>
      <c r="CJ78" s="79">
        <v>0</v>
      </c>
      <c r="CK78" s="79">
        <v>0</v>
      </c>
      <c r="CL78" s="79">
        <v>0</v>
      </c>
      <c r="CM78" s="79">
        <v>0</v>
      </c>
      <c r="CN78" s="79">
        <v>0</v>
      </c>
      <c r="CO78" s="79">
        <v>0</v>
      </c>
      <c r="CP78" s="79">
        <v>0</v>
      </c>
      <c r="CQ78" s="79">
        <v>0</v>
      </c>
      <c r="CR78" s="79">
        <v>0</v>
      </c>
      <c r="CS78" s="79">
        <v>0</v>
      </c>
      <c r="CT78" s="79">
        <v>0</v>
      </c>
      <c r="CU78" s="79">
        <v>0</v>
      </c>
      <c r="CV78" s="79">
        <v>0</v>
      </c>
      <c r="CW78" s="79">
        <v>0</v>
      </c>
      <c r="CX78" s="79">
        <v>0</v>
      </c>
      <c r="CY78" s="79">
        <v>0</v>
      </c>
      <c r="CZ78" s="79">
        <v>0</v>
      </c>
      <c r="DA78" s="79">
        <v>0</v>
      </c>
      <c r="DB78" s="79">
        <v>0</v>
      </c>
      <c r="DC78" s="79">
        <v>0</v>
      </c>
      <c r="DD78" s="83">
        <v>0</v>
      </c>
      <c r="DE78" s="83">
        <v>0</v>
      </c>
      <c r="DF78" s="83">
        <v>0</v>
      </c>
      <c r="DG78" s="83">
        <v>0</v>
      </c>
      <c r="DH78" s="83">
        <v>0</v>
      </c>
      <c r="DI78" s="83">
        <v>0</v>
      </c>
      <c r="DJ78" s="83">
        <v>0</v>
      </c>
      <c r="DK78" s="83">
        <v>0</v>
      </c>
      <c r="DL78" s="83">
        <v>0</v>
      </c>
      <c r="DM78" s="83">
        <v>0</v>
      </c>
      <c r="DN78" s="83">
        <v>0</v>
      </c>
      <c r="DO78" s="83">
        <v>0</v>
      </c>
      <c r="DP78" s="83">
        <v>0</v>
      </c>
      <c r="DQ78" s="83">
        <v>0</v>
      </c>
      <c r="DR78" s="83">
        <v>0</v>
      </c>
      <c r="DS78" s="83">
        <v>0</v>
      </c>
      <c r="DT78" s="79">
        <v>0</v>
      </c>
      <c r="DU78" s="81">
        <v>0</v>
      </c>
      <c r="DV78" s="81">
        <v>0</v>
      </c>
      <c r="DW78" s="81">
        <v>0</v>
      </c>
      <c r="DX78" s="81">
        <v>0</v>
      </c>
      <c r="DY78" s="81">
        <v>0</v>
      </c>
      <c r="DZ78" s="81">
        <v>0</v>
      </c>
      <c r="EA78" s="81">
        <v>0</v>
      </c>
      <c r="EB78" s="81">
        <v>0</v>
      </c>
      <c r="EC78" s="81">
        <v>0</v>
      </c>
      <c r="ED78" s="81">
        <v>0</v>
      </c>
      <c r="EE78" s="81">
        <v>0</v>
      </c>
      <c r="EF78" s="81">
        <v>0</v>
      </c>
      <c r="EG78" s="81">
        <v>0</v>
      </c>
      <c r="EH78" s="79">
        <v>0</v>
      </c>
      <c r="EI78" s="79">
        <v>0</v>
      </c>
      <c r="EJ78" s="79">
        <v>0</v>
      </c>
      <c r="EK78" s="79">
        <v>0</v>
      </c>
      <c r="EL78" s="79">
        <v>0</v>
      </c>
      <c r="EM78" s="79">
        <v>0</v>
      </c>
      <c r="EN78" s="79">
        <v>0</v>
      </c>
      <c r="EO78" s="79">
        <v>0</v>
      </c>
      <c r="EP78" s="79">
        <v>0</v>
      </c>
      <c r="EQ78" s="79">
        <v>0</v>
      </c>
      <c r="ER78" s="79">
        <v>0</v>
      </c>
      <c r="ES78" s="79">
        <v>0</v>
      </c>
      <c r="ET78" s="79">
        <v>0</v>
      </c>
      <c r="EU78" s="79">
        <v>0</v>
      </c>
      <c r="EV78" s="79">
        <v>0</v>
      </c>
      <c r="EW78" s="79">
        <v>0</v>
      </c>
      <c r="EX78" s="79">
        <v>0</v>
      </c>
      <c r="EY78" s="79">
        <v>0</v>
      </c>
      <c r="EZ78" s="79">
        <v>0</v>
      </c>
      <c r="FA78" s="79">
        <v>0</v>
      </c>
      <c r="FB78" s="79">
        <v>0</v>
      </c>
      <c r="FC78" s="79">
        <v>0</v>
      </c>
      <c r="FD78" s="310">
        <v>0</v>
      </c>
      <c r="FE78" s="95">
        <v>0</v>
      </c>
      <c r="FF78" s="95">
        <v>0</v>
      </c>
      <c r="FG78" s="95">
        <v>0</v>
      </c>
      <c r="FH78" s="95">
        <v>0</v>
      </c>
      <c r="FI78" s="95">
        <v>0</v>
      </c>
      <c r="FJ78" s="95">
        <v>0</v>
      </c>
      <c r="FK78" s="95">
        <v>0</v>
      </c>
      <c r="FL78" s="95">
        <v>0</v>
      </c>
      <c r="FM78" s="95">
        <v>0</v>
      </c>
      <c r="FN78" s="95">
        <v>0</v>
      </c>
      <c r="FO78" s="95">
        <v>0</v>
      </c>
      <c r="FP78" s="310">
        <v>0</v>
      </c>
      <c r="FQ78" s="95">
        <v>0</v>
      </c>
      <c r="FR78" s="95">
        <v>0</v>
      </c>
      <c r="FS78" s="95">
        <v>0</v>
      </c>
      <c r="FT78" s="95">
        <v>0</v>
      </c>
      <c r="FU78" s="95">
        <v>0</v>
      </c>
      <c r="FV78" s="95">
        <v>0</v>
      </c>
      <c r="FW78" s="95">
        <v>0</v>
      </c>
      <c r="FX78" s="95">
        <v>0</v>
      </c>
      <c r="FY78" s="95">
        <v>0</v>
      </c>
      <c r="FZ78" s="95">
        <v>0</v>
      </c>
      <c r="GA78" s="311">
        <v>0</v>
      </c>
      <c r="GB78" s="310">
        <v>0</v>
      </c>
      <c r="GC78" s="95">
        <v>0</v>
      </c>
      <c r="GD78" s="311">
        <v>0</v>
      </c>
      <c r="GE78" s="382">
        <v>0</v>
      </c>
      <c r="GF78" s="382">
        <v>0</v>
      </c>
      <c r="GG78" s="382">
        <v>0</v>
      </c>
      <c r="GH78" s="382">
        <v>0</v>
      </c>
      <c r="GI78" s="439">
        <v>0</v>
      </c>
    </row>
    <row r="79" spans="1:191" ht="15" customHeight="1">
      <c r="A79" s="6"/>
      <c r="B79" s="245" t="s">
        <v>71</v>
      </c>
      <c r="C79" s="67"/>
      <c r="D79" s="67"/>
      <c r="E79" s="67"/>
      <c r="F79" s="67"/>
      <c r="G79" s="67"/>
      <c r="H79" s="67"/>
      <c r="I79" s="67"/>
      <c r="J79" s="67"/>
      <c r="K79" s="67"/>
      <c r="L79" s="67"/>
      <c r="M79" s="67"/>
      <c r="N79" s="67"/>
      <c r="O79" s="67"/>
      <c r="P79" s="67"/>
      <c r="Q79" s="67"/>
      <c r="R79" s="80"/>
      <c r="S79" s="80"/>
      <c r="T79" s="80"/>
      <c r="U79" s="80"/>
      <c r="V79" s="80"/>
      <c r="W79" s="80">
        <v>295</v>
      </c>
      <c r="X79" s="80">
        <v>35</v>
      </c>
      <c r="Y79" s="81">
        <v>332</v>
      </c>
      <c r="Z79" s="81">
        <v>340</v>
      </c>
      <c r="AA79" s="81">
        <v>46</v>
      </c>
      <c r="AB79" s="81">
        <v>336</v>
      </c>
      <c r="AC79" s="81">
        <v>349</v>
      </c>
      <c r="AD79" s="25">
        <v>366</v>
      </c>
      <c r="AE79" s="25">
        <v>352</v>
      </c>
      <c r="AF79" s="79">
        <v>344</v>
      </c>
      <c r="AG79" s="79">
        <v>346</v>
      </c>
      <c r="AH79" s="79">
        <v>861</v>
      </c>
      <c r="AI79" s="79">
        <v>902</v>
      </c>
      <c r="AJ79" s="79">
        <v>982</v>
      </c>
      <c r="AK79" s="79">
        <v>972</v>
      </c>
      <c r="AL79" s="79">
        <v>906</v>
      </c>
      <c r="AM79" s="79">
        <v>878</v>
      </c>
      <c r="AN79" s="79">
        <v>823</v>
      </c>
      <c r="AO79" s="79">
        <v>814</v>
      </c>
      <c r="AP79" s="79">
        <v>805</v>
      </c>
      <c r="AQ79" s="79">
        <v>805</v>
      </c>
      <c r="AR79" s="79">
        <v>799</v>
      </c>
      <c r="AS79" s="79">
        <v>787</v>
      </c>
      <c r="AT79" s="79">
        <v>782</v>
      </c>
      <c r="AU79" s="79">
        <v>776</v>
      </c>
      <c r="AV79" s="79">
        <v>772</v>
      </c>
      <c r="AW79" s="79">
        <v>772</v>
      </c>
      <c r="AX79" s="79">
        <v>763</v>
      </c>
      <c r="AY79" s="79">
        <v>759</v>
      </c>
      <c r="AZ79" s="79">
        <v>751</v>
      </c>
      <c r="BA79" s="79">
        <v>85</v>
      </c>
      <c r="BB79" s="79">
        <v>84</v>
      </c>
      <c r="BC79" s="79">
        <v>124</v>
      </c>
      <c r="BD79" s="79">
        <v>124</v>
      </c>
      <c r="BE79" s="79">
        <v>124</v>
      </c>
      <c r="BF79" s="79">
        <v>0</v>
      </c>
      <c r="BG79" s="79">
        <v>0</v>
      </c>
      <c r="BH79" s="79">
        <v>0</v>
      </c>
      <c r="BI79" s="79">
        <v>0</v>
      </c>
      <c r="BJ79" s="79">
        <v>6</v>
      </c>
      <c r="BK79" s="79">
        <v>6</v>
      </c>
      <c r="BL79" s="25">
        <v>6</v>
      </c>
      <c r="BM79" s="25">
        <v>5</v>
      </c>
      <c r="BN79" s="79">
        <v>0</v>
      </c>
      <c r="BO79" s="79">
        <v>0</v>
      </c>
      <c r="BP79" s="79">
        <v>0</v>
      </c>
      <c r="BQ79" s="79">
        <v>0</v>
      </c>
      <c r="BR79" s="79">
        <v>0</v>
      </c>
      <c r="BS79" s="79">
        <v>0</v>
      </c>
      <c r="BT79" s="79">
        <v>0</v>
      </c>
      <c r="BU79" s="79">
        <v>0</v>
      </c>
      <c r="BV79" s="79">
        <v>0</v>
      </c>
      <c r="BW79" s="79">
        <v>0</v>
      </c>
      <c r="BX79" s="79">
        <v>0</v>
      </c>
      <c r="BY79" s="79">
        <v>0</v>
      </c>
      <c r="BZ79" s="79">
        <v>0</v>
      </c>
      <c r="CA79" s="79">
        <v>0</v>
      </c>
      <c r="CB79" s="79">
        <v>0</v>
      </c>
      <c r="CC79" s="79">
        <v>0</v>
      </c>
      <c r="CD79" s="79">
        <v>0</v>
      </c>
      <c r="CE79" s="79">
        <v>0</v>
      </c>
      <c r="CF79" s="79">
        <v>0</v>
      </c>
      <c r="CG79" s="79">
        <v>0</v>
      </c>
      <c r="CH79" s="79">
        <v>0</v>
      </c>
      <c r="CI79" s="79">
        <v>0</v>
      </c>
      <c r="CJ79" s="79">
        <v>0</v>
      </c>
      <c r="CK79" s="79">
        <v>0</v>
      </c>
      <c r="CL79" s="79">
        <v>0</v>
      </c>
      <c r="CM79" s="79">
        <v>0</v>
      </c>
      <c r="CN79" s="79">
        <v>0</v>
      </c>
      <c r="CO79" s="79">
        <v>0</v>
      </c>
      <c r="CP79" s="79">
        <v>0</v>
      </c>
      <c r="CQ79" s="79">
        <v>0</v>
      </c>
      <c r="CR79" s="79">
        <v>0</v>
      </c>
      <c r="CS79" s="79">
        <v>0</v>
      </c>
      <c r="CT79" s="79">
        <v>0</v>
      </c>
      <c r="CU79" s="79">
        <v>0</v>
      </c>
      <c r="CV79" s="79">
        <v>0</v>
      </c>
      <c r="CW79" s="79">
        <v>0</v>
      </c>
      <c r="CX79" s="79">
        <v>0</v>
      </c>
      <c r="CY79" s="79">
        <v>0</v>
      </c>
      <c r="CZ79" s="79">
        <v>0</v>
      </c>
      <c r="DA79" s="79">
        <v>0</v>
      </c>
      <c r="DB79" s="79">
        <v>0</v>
      </c>
      <c r="DC79" s="79">
        <v>0</v>
      </c>
      <c r="DD79" s="83">
        <v>0</v>
      </c>
      <c r="DE79" s="83">
        <v>0</v>
      </c>
      <c r="DF79" s="83">
        <v>0</v>
      </c>
      <c r="DG79" s="83">
        <v>0</v>
      </c>
      <c r="DH79" s="83">
        <v>0</v>
      </c>
      <c r="DI79" s="83">
        <v>0</v>
      </c>
      <c r="DJ79" s="83">
        <v>0</v>
      </c>
      <c r="DK79" s="83">
        <v>0</v>
      </c>
      <c r="DL79" s="83">
        <v>0</v>
      </c>
      <c r="DM79" s="83">
        <v>0</v>
      </c>
      <c r="DN79" s="83">
        <v>0</v>
      </c>
      <c r="DO79" s="83">
        <v>0</v>
      </c>
      <c r="DP79" s="83">
        <v>0</v>
      </c>
      <c r="DQ79" s="83">
        <v>0</v>
      </c>
      <c r="DR79" s="83">
        <v>0</v>
      </c>
      <c r="DS79" s="83">
        <v>0</v>
      </c>
      <c r="DT79" s="79">
        <v>0</v>
      </c>
      <c r="DU79" s="81">
        <v>0</v>
      </c>
      <c r="DV79" s="81">
        <v>0</v>
      </c>
      <c r="DW79" s="81">
        <v>0</v>
      </c>
      <c r="DX79" s="81">
        <v>0</v>
      </c>
      <c r="DY79" s="81">
        <v>0</v>
      </c>
      <c r="DZ79" s="81">
        <v>0</v>
      </c>
      <c r="EA79" s="81">
        <v>0</v>
      </c>
      <c r="EB79" s="81">
        <v>0</v>
      </c>
      <c r="EC79" s="81">
        <v>0</v>
      </c>
      <c r="ED79" s="81">
        <v>0</v>
      </c>
      <c r="EE79" s="81">
        <v>0</v>
      </c>
      <c r="EF79" s="81">
        <v>0</v>
      </c>
      <c r="EG79" s="81">
        <v>0</v>
      </c>
      <c r="EH79" s="79">
        <v>0</v>
      </c>
      <c r="EI79" s="79">
        <v>0</v>
      </c>
      <c r="EJ79" s="79">
        <v>0</v>
      </c>
      <c r="EK79" s="79">
        <v>0</v>
      </c>
      <c r="EL79" s="79">
        <v>0</v>
      </c>
      <c r="EM79" s="79">
        <v>0</v>
      </c>
      <c r="EN79" s="79">
        <v>0</v>
      </c>
      <c r="EO79" s="79">
        <v>0</v>
      </c>
      <c r="EP79" s="79">
        <v>0</v>
      </c>
      <c r="EQ79" s="79">
        <v>0</v>
      </c>
      <c r="ER79" s="79">
        <v>0</v>
      </c>
      <c r="ES79" s="79">
        <v>0</v>
      </c>
      <c r="ET79" s="79">
        <v>0</v>
      </c>
      <c r="EU79" s="79">
        <v>0</v>
      </c>
      <c r="EV79" s="79">
        <v>0</v>
      </c>
      <c r="EW79" s="79">
        <v>0</v>
      </c>
      <c r="EX79" s="79">
        <v>0</v>
      </c>
      <c r="EY79" s="79">
        <v>0</v>
      </c>
      <c r="EZ79" s="79">
        <v>0</v>
      </c>
      <c r="FA79" s="79">
        <v>0</v>
      </c>
      <c r="FB79" s="79">
        <v>0</v>
      </c>
      <c r="FC79" s="79">
        <v>0</v>
      </c>
      <c r="FD79" s="310">
        <v>0</v>
      </c>
      <c r="FE79" s="95">
        <v>0</v>
      </c>
      <c r="FF79" s="95">
        <v>0</v>
      </c>
      <c r="FG79" s="95">
        <v>0</v>
      </c>
      <c r="FH79" s="95">
        <v>0</v>
      </c>
      <c r="FI79" s="95">
        <v>0</v>
      </c>
      <c r="FJ79" s="95">
        <v>0</v>
      </c>
      <c r="FK79" s="95">
        <v>0</v>
      </c>
      <c r="FL79" s="95">
        <v>0</v>
      </c>
      <c r="FM79" s="95">
        <v>0</v>
      </c>
      <c r="FN79" s="95">
        <v>0</v>
      </c>
      <c r="FO79" s="95">
        <v>0</v>
      </c>
      <c r="FP79" s="310">
        <v>0</v>
      </c>
      <c r="FQ79" s="95">
        <v>0</v>
      </c>
      <c r="FR79" s="95">
        <v>0</v>
      </c>
      <c r="FS79" s="95">
        <v>0</v>
      </c>
      <c r="FT79" s="95">
        <v>0</v>
      </c>
      <c r="FU79" s="95">
        <v>0</v>
      </c>
      <c r="FV79" s="95">
        <v>0</v>
      </c>
      <c r="FW79" s="95">
        <v>0</v>
      </c>
      <c r="FX79" s="95">
        <v>0</v>
      </c>
      <c r="FY79" s="95">
        <v>0</v>
      </c>
      <c r="FZ79" s="95">
        <v>0</v>
      </c>
      <c r="GA79" s="311">
        <v>0</v>
      </c>
      <c r="GB79" s="310">
        <v>0</v>
      </c>
      <c r="GC79" s="95">
        <v>0</v>
      </c>
      <c r="GD79" s="311">
        <v>0</v>
      </c>
      <c r="GE79" s="382">
        <v>0</v>
      </c>
      <c r="GF79" s="382">
        <v>0</v>
      </c>
      <c r="GG79" s="382">
        <v>0</v>
      </c>
      <c r="GH79" s="382">
        <v>0</v>
      </c>
      <c r="GI79" s="439">
        <v>0</v>
      </c>
    </row>
    <row r="80" spans="1:192" ht="15" customHeight="1">
      <c r="A80" s="6"/>
      <c r="B80" s="240" t="s">
        <v>72</v>
      </c>
      <c r="C80" s="84"/>
      <c r="D80" s="84"/>
      <c r="E80" s="84"/>
      <c r="F80" s="68"/>
      <c r="G80" s="68"/>
      <c r="H80" s="68"/>
      <c r="I80" s="68"/>
      <c r="J80" s="68"/>
      <c r="K80" s="68"/>
      <c r="L80" s="68"/>
      <c r="M80" s="68"/>
      <c r="N80" s="84"/>
      <c r="O80" s="84"/>
      <c r="P80" s="84"/>
      <c r="Q80" s="84"/>
      <c r="R80" s="80"/>
      <c r="S80" s="80"/>
      <c r="T80" s="80"/>
      <c r="U80" s="80"/>
      <c r="V80" s="80"/>
      <c r="W80" s="80"/>
      <c r="X80" s="80">
        <v>7</v>
      </c>
      <c r="Y80" s="81">
        <v>7</v>
      </c>
      <c r="Z80" s="81">
        <v>7</v>
      </c>
      <c r="AA80" s="81">
        <v>7</v>
      </c>
      <c r="AB80" s="81">
        <v>7</v>
      </c>
      <c r="AC80" s="81">
        <v>7</v>
      </c>
      <c r="AD80" s="25">
        <v>7</v>
      </c>
      <c r="AE80" s="25">
        <v>7</v>
      </c>
      <c r="AF80" s="25">
        <v>7</v>
      </c>
      <c r="AG80" s="25">
        <v>7</v>
      </c>
      <c r="AH80" s="25">
        <v>7</v>
      </c>
      <c r="AI80" s="62">
        <v>7</v>
      </c>
      <c r="AJ80" s="62">
        <v>6</v>
      </c>
      <c r="AK80" s="62">
        <v>6</v>
      </c>
      <c r="AL80" s="62">
        <v>5</v>
      </c>
      <c r="AM80" s="62">
        <v>5</v>
      </c>
      <c r="AN80" s="62">
        <v>5</v>
      </c>
      <c r="AO80" s="62">
        <v>5</v>
      </c>
      <c r="AP80" s="172">
        <v>0</v>
      </c>
      <c r="AQ80" s="172">
        <v>0</v>
      </c>
      <c r="AR80" s="79">
        <v>0</v>
      </c>
      <c r="AS80" s="79">
        <v>0</v>
      </c>
      <c r="AT80" s="79">
        <v>0</v>
      </c>
      <c r="AU80" s="79">
        <v>0</v>
      </c>
      <c r="AV80" s="79">
        <v>0</v>
      </c>
      <c r="AW80" s="79">
        <v>0</v>
      </c>
      <c r="AX80" s="79">
        <v>0</v>
      </c>
      <c r="AY80" s="79">
        <v>0</v>
      </c>
      <c r="AZ80" s="79">
        <v>0</v>
      </c>
      <c r="BA80" s="79">
        <v>0</v>
      </c>
      <c r="BB80" s="79">
        <v>0</v>
      </c>
      <c r="BC80" s="79">
        <v>0</v>
      </c>
      <c r="BD80" s="79">
        <v>0</v>
      </c>
      <c r="BE80" s="79">
        <v>0</v>
      </c>
      <c r="BF80" s="79">
        <v>0</v>
      </c>
      <c r="BG80" s="79">
        <v>0</v>
      </c>
      <c r="BH80" s="79">
        <v>0</v>
      </c>
      <c r="BI80" s="79">
        <v>0</v>
      </c>
      <c r="BJ80" s="79">
        <v>0</v>
      </c>
      <c r="BK80" s="79">
        <v>0</v>
      </c>
      <c r="BL80" s="79">
        <v>0</v>
      </c>
      <c r="BM80" s="79">
        <v>0</v>
      </c>
      <c r="BN80" s="79">
        <v>0</v>
      </c>
      <c r="BO80" s="79">
        <v>0</v>
      </c>
      <c r="BP80" s="79">
        <v>0</v>
      </c>
      <c r="BQ80" s="79">
        <v>0</v>
      </c>
      <c r="BR80" s="79">
        <v>0</v>
      </c>
      <c r="BS80" s="79">
        <v>0</v>
      </c>
      <c r="BT80" s="79">
        <v>0</v>
      </c>
      <c r="BU80" s="79">
        <v>0</v>
      </c>
      <c r="BV80" s="79">
        <v>0</v>
      </c>
      <c r="BW80" s="79">
        <v>0</v>
      </c>
      <c r="BX80" s="79">
        <v>0</v>
      </c>
      <c r="BY80" s="79">
        <v>0</v>
      </c>
      <c r="BZ80" s="79">
        <v>0</v>
      </c>
      <c r="CA80" s="79">
        <v>0</v>
      </c>
      <c r="CB80" s="79">
        <v>0</v>
      </c>
      <c r="CC80" s="79">
        <v>0</v>
      </c>
      <c r="CD80" s="79">
        <v>0</v>
      </c>
      <c r="CE80" s="79">
        <v>0</v>
      </c>
      <c r="CF80" s="79">
        <v>0</v>
      </c>
      <c r="CG80" s="79">
        <v>0</v>
      </c>
      <c r="CH80" s="79">
        <v>0</v>
      </c>
      <c r="CI80" s="79"/>
      <c r="CJ80" s="79">
        <v>0</v>
      </c>
      <c r="CK80" s="79">
        <v>0</v>
      </c>
      <c r="CL80" s="79">
        <v>0</v>
      </c>
      <c r="CM80" s="79">
        <v>0</v>
      </c>
      <c r="CN80" s="79">
        <v>0</v>
      </c>
      <c r="CO80" s="79">
        <v>0</v>
      </c>
      <c r="CP80" s="79">
        <v>0</v>
      </c>
      <c r="CQ80" s="79">
        <v>0</v>
      </c>
      <c r="CR80" s="79">
        <v>0</v>
      </c>
      <c r="CS80" s="79">
        <v>0</v>
      </c>
      <c r="CT80" s="79">
        <v>0</v>
      </c>
      <c r="CU80" s="79">
        <v>0</v>
      </c>
      <c r="CV80" s="79">
        <v>0</v>
      </c>
      <c r="CW80" s="79">
        <v>0</v>
      </c>
      <c r="CX80" s="79">
        <v>0</v>
      </c>
      <c r="CY80" s="79">
        <v>0</v>
      </c>
      <c r="CZ80" s="79">
        <v>0</v>
      </c>
      <c r="DA80" s="79">
        <v>0</v>
      </c>
      <c r="DB80" s="79">
        <v>0</v>
      </c>
      <c r="DC80" s="79">
        <v>0</v>
      </c>
      <c r="DD80" s="83">
        <v>0</v>
      </c>
      <c r="DE80" s="83">
        <v>0</v>
      </c>
      <c r="DF80" s="83">
        <v>0</v>
      </c>
      <c r="DG80" s="83">
        <v>0</v>
      </c>
      <c r="DH80" s="83">
        <v>0</v>
      </c>
      <c r="DI80" s="83">
        <v>0</v>
      </c>
      <c r="DJ80" s="83">
        <v>0</v>
      </c>
      <c r="DK80" s="83">
        <v>0</v>
      </c>
      <c r="DL80" s="83">
        <v>0</v>
      </c>
      <c r="DM80" s="83">
        <v>0</v>
      </c>
      <c r="DN80" s="83">
        <v>0</v>
      </c>
      <c r="DO80" s="83">
        <v>0</v>
      </c>
      <c r="DP80" s="83">
        <v>0</v>
      </c>
      <c r="DQ80" s="83">
        <v>0</v>
      </c>
      <c r="DR80" s="83">
        <v>0</v>
      </c>
      <c r="DS80" s="83">
        <v>0</v>
      </c>
      <c r="DT80" s="79">
        <v>0</v>
      </c>
      <c r="DU80" s="81">
        <v>0</v>
      </c>
      <c r="DV80" s="81">
        <v>0</v>
      </c>
      <c r="DW80" s="81">
        <v>0</v>
      </c>
      <c r="DX80" s="81">
        <v>0</v>
      </c>
      <c r="DY80" s="81">
        <v>0</v>
      </c>
      <c r="DZ80" s="81">
        <v>0</v>
      </c>
      <c r="EA80" s="81">
        <v>0</v>
      </c>
      <c r="EB80" s="81">
        <v>0</v>
      </c>
      <c r="EC80" s="81">
        <v>0</v>
      </c>
      <c r="ED80" s="81">
        <v>0</v>
      </c>
      <c r="EE80" s="81">
        <v>0</v>
      </c>
      <c r="EF80" s="81">
        <v>0</v>
      </c>
      <c r="EG80" s="81">
        <v>0</v>
      </c>
      <c r="EH80" s="79">
        <v>0</v>
      </c>
      <c r="EI80" s="79">
        <v>0</v>
      </c>
      <c r="EJ80" s="79">
        <v>0</v>
      </c>
      <c r="EK80" s="79">
        <v>0</v>
      </c>
      <c r="EL80" s="79">
        <v>0</v>
      </c>
      <c r="EM80" s="79">
        <v>0</v>
      </c>
      <c r="EN80" s="79">
        <v>0</v>
      </c>
      <c r="EO80" s="79">
        <v>0</v>
      </c>
      <c r="EP80" s="79">
        <v>0</v>
      </c>
      <c r="EQ80" s="79">
        <v>0</v>
      </c>
      <c r="ER80" s="79">
        <v>0</v>
      </c>
      <c r="ES80" s="79">
        <v>0</v>
      </c>
      <c r="ET80" s="79">
        <v>0</v>
      </c>
      <c r="EU80" s="79">
        <v>0</v>
      </c>
      <c r="EV80" s="79">
        <v>0</v>
      </c>
      <c r="EW80" s="79">
        <v>0</v>
      </c>
      <c r="EX80" s="79">
        <v>0</v>
      </c>
      <c r="EY80" s="79">
        <v>0</v>
      </c>
      <c r="EZ80" s="79">
        <v>0</v>
      </c>
      <c r="FA80" s="79">
        <v>0</v>
      </c>
      <c r="FB80" s="79">
        <v>0</v>
      </c>
      <c r="FC80" s="79">
        <v>0</v>
      </c>
      <c r="FD80" s="310">
        <v>0</v>
      </c>
      <c r="FE80" s="95">
        <v>0</v>
      </c>
      <c r="FF80" s="95">
        <v>0</v>
      </c>
      <c r="FG80" s="95">
        <v>0</v>
      </c>
      <c r="FH80" s="95">
        <v>0</v>
      </c>
      <c r="FI80" s="95">
        <v>0</v>
      </c>
      <c r="FJ80" s="95">
        <v>0</v>
      </c>
      <c r="FK80" s="95">
        <v>0</v>
      </c>
      <c r="FL80" s="95">
        <v>0</v>
      </c>
      <c r="FM80" s="95">
        <v>0</v>
      </c>
      <c r="FN80" s="95">
        <v>0</v>
      </c>
      <c r="FO80" s="95">
        <v>0</v>
      </c>
      <c r="FP80" s="310">
        <v>0</v>
      </c>
      <c r="FQ80" s="95">
        <v>0</v>
      </c>
      <c r="FR80" s="95">
        <v>0</v>
      </c>
      <c r="FS80" s="95">
        <v>0</v>
      </c>
      <c r="FT80" s="95">
        <v>0</v>
      </c>
      <c r="FU80" s="95">
        <v>0</v>
      </c>
      <c r="FV80" s="95">
        <v>0</v>
      </c>
      <c r="FW80" s="95">
        <v>0</v>
      </c>
      <c r="FX80" s="95">
        <v>0</v>
      </c>
      <c r="FY80" s="95">
        <v>0</v>
      </c>
      <c r="FZ80" s="95">
        <v>0</v>
      </c>
      <c r="GA80" s="311">
        <v>0</v>
      </c>
      <c r="GB80" s="310">
        <v>0</v>
      </c>
      <c r="GC80" s="95">
        <v>111</v>
      </c>
      <c r="GD80" s="311">
        <v>144</v>
      </c>
      <c r="GE80" s="49">
        <v>144</v>
      </c>
      <c r="GF80" s="3">
        <v>144</v>
      </c>
      <c r="GG80" s="3">
        <v>155</v>
      </c>
      <c r="GH80" s="3">
        <v>155</v>
      </c>
      <c r="GI80" s="132">
        <v>175</v>
      </c>
      <c r="GJ80" s="29"/>
    </row>
    <row r="81" spans="1:191" ht="15" customHeight="1">
      <c r="A81" s="6"/>
      <c r="B81" s="186" t="s">
        <v>123</v>
      </c>
      <c r="C81" s="67">
        <f aca="true" t="shared" si="117" ref="C81:AF81">C82+C83</f>
        <v>6708</v>
      </c>
      <c r="D81" s="67">
        <f t="shared" si="117"/>
        <v>7148</v>
      </c>
      <c r="E81" s="67">
        <f t="shared" si="117"/>
        <v>7341</v>
      </c>
      <c r="F81" s="67">
        <f t="shared" si="117"/>
        <v>7371</v>
      </c>
      <c r="G81" s="67">
        <f t="shared" si="117"/>
        <v>7827</v>
      </c>
      <c r="H81" s="67">
        <f t="shared" si="117"/>
        <v>8351</v>
      </c>
      <c r="I81" s="67">
        <f>I82+I83</f>
        <v>9042</v>
      </c>
      <c r="J81" s="67">
        <f t="shared" si="117"/>
        <v>10493</v>
      </c>
      <c r="K81" s="67">
        <f t="shared" si="117"/>
        <v>10773</v>
      </c>
      <c r="L81" s="67">
        <f t="shared" si="117"/>
        <v>10843</v>
      </c>
      <c r="M81" s="67">
        <f t="shared" si="117"/>
        <v>10778</v>
      </c>
      <c r="N81" s="67">
        <f t="shared" si="117"/>
        <v>11567</v>
      </c>
      <c r="O81" s="67">
        <f t="shared" si="117"/>
        <v>12219</v>
      </c>
      <c r="P81" s="67">
        <f t="shared" si="117"/>
        <v>12905</v>
      </c>
      <c r="Q81" s="67">
        <f t="shared" si="117"/>
        <v>14064</v>
      </c>
      <c r="R81" s="67">
        <f>R82+R83</f>
        <v>13899.101</v>
      </c>
      <c r="S81" s="67">
        <f t="shared" si="117"/>
        <v>13240.339</v>
      </c>
      <c r="T81" s="67">
        <f>T82+T83</f>
        <v>13303.898000000001</v>
      </c>
      <c r="U81" s="67">
        <f t="shared" si="117"/>
        <v>13836.813</v>
      </c>
      <c r="V81" s="67">
        <f t="shared" si="117"/>
        <v>13154</v>
      </c>
      <c r="W81" s="67">
        <f t="shared" si="117"/>
        <v>13020.849</v>
      </c>
      <c r="X81" s="67">
        <f t="shared" si="117"/>
        <v>13189</v>
      </c>
      <c r="Y81" s="67">
        <f t="shared" si="117"/>
        <v>13225</v>
      </c>
      <c r="Z81" s="67">
        <f t="shared" si="117"/>
        <v>13646</v>
      </c>
      <c r="AA81" s="67">
        <f t="shared" si="117"/>
        <v>13795</v>
      </c>
      <c r="AB81" s="67">
        <f t="shared" si="117"/>
        <v>13890</v>
      </c>
      <c r="AC81" s="67">
        <f t="shared" si="117"/>
        <v>14140</v>
      </c>
      <c r="AD81" s="67">
        <f t="shared" si="117"/>
        <v>14460</v>
      </c>
      <c r="AE81" s="67">
        <f t="shared" si="117"/>
        <v>14633</v>
      </c>
      <c r="AF81" s="67">
        <f t="shared" si="117"/>
        <v>15107</v>
      </c>
      <c r="AG81" s="67">
        <f>AG82+AG83</f>
        <v>15452</v>
      </c>
      <c r="AH81" s="67">
        <f>AH82+AH83</f>
        <v>15888</v>
      </c>
      <c r="AI81" s="67">
        <f>AI82+AI83</f>
        <v>15908</v>
      </c>
      <c r="AJ81" s="67">
        <f>AJ82+AJ83</f>
        <v>15747</v>
      </c>
      <c r="AK81" s="67">
        <f>AK82+AK83</f>
        <v>15876</v>
      </c>
      <c r="AL81" s="67">
        <f aca="true" t="shared" si="118" ref="AL81:AQ81">SUM(AL82:AL83)</f>
        <v>16471</v>
      </c>
      <c r="AM81" s="67">
        <f>SUM(AM82:AM83)</f>
        <v>17521</v>
      </c>
      <c r="AN81" s="67">
        <f t="shared" si="118"/>
        <v>17718</v>
      </c>
      <c r="AO81" s="67">
        <f t="shared" si="118"/>
        <v>17154</v>
      </c>
      <c r="AP81" s="68">
        <f t="shared" si="118"/>
        <v>17643</v>
      </c>
      <c r="AQ81" s="68">
        <f t="shared" si="118"/>
        <v>18466</v>
      </c>
      <c r="AR81" s="68">
        <f aca="true" t="shared" si="119" ref="AR81:AW81">SUM(AR82:AR83)</f>
        <v>19450</v>
      </c>
      <c r="AS81" s="68">
        <f t="shared" si="119"/>
        <v>20423</v>
      </c>
      <c r="AT81" s="68">
        <f t="shared" si="119"/>
        <v>19982</v>
      </c>
      <c r="AU81" s="68">
        <f t="shared" si="119"/>
        <v>20115</v>
      </c>
      <c r="AV81" s="68">
        <f>SUM(AV82:AV83)</f>
        <v>25916</v>
      </c>
      <c r="AW81" s="68">
        <f t="shared" si="119"/>
        <v>26227</v>
      </c>
      <c r="AX81" s="68">
        <f aca="true" t="shared" si="120" ref="AX81:BE81">SUM(AX82:AX83)</f>
        <v>27573</v>
      </c>
      <c r="AY81" s="68">
        <f t="shared" si="120"/>
        <v>28808</v>
      </c>
      <c r="AZ81" s="68">
        <f t="shared" si="120"/>
        <v>29873</v>
      </c>
      <c r="BA81" s="68">
        <f t="shared" si="120"/>
        <v>32544</v>
      </c>
      <c r="BB81" s="68">
        <f t="shared" si="120"/>
        <v>33401</v>
      </c>
      <c r="BC81" s="68">
        <f t="shared" si="120"/>
        <v>31606</v>
      </c>
      <c r="BD81" s="68">
        <f t="shared" si="120"/>
        <v>33091</v>
      </c>
      <c r="BE81" s="68">
        <f t="shared" si="120"/>
        <v>36517</v>
      </c>
      <c r="BF81" s="68">
        <f aca="true" t="shared" si="121" ref="BF81:BK81">SUM(BF82:BF83)</f>
        <v>38347</v>
      </c>
      <c r="BG81" s="68">
        <f t="shared" si="121"/>
        <v>38482</v>
      </c>
      <c r="BH81" s="68">
        <f t="shared" si="121"/>
        <v>37031</v>
      </c>
      <c r="BI81" s="68">
        <f t="shared" si="121"/>
        <v>38565</v>
      </c>
      <c r="BJ81" s="68">
        <f t="shared" si="121"/>
        <v>39801</v>
      </c>
      <c r="BK81" s="68">
        <f t="shared" si="121"/>
        <v>42859</v>
      </c>
      <c r="BL81" s="68">
        <f aca="true" t="shared" si="122" ref="BL81:BQ81">SUM(BL82:BL83)</f>
        <v>42528</v>
      </c>
      <c r="BM81" s="68">
        <f t="shared" si="122"/>
        <v>42971</v>
      </c>
      <c r="BN81" s="68">
        <f>SUM(BN82:BN83)</f>
        <v>42033</v>
      </c>
      <c r="BO81" s="68">
        <f t="shared" si="122"/>
        <v>42021</v>
      </c>
      <c r="BP81" s="68">
        <f t="shared" si="122"/>
        <v>41980</v>
      </c>
      <c r="BQ81" s="68">
        <f t="shared" si="122"/>
        <v>42151</v>
      </c>
      <c r="BR81" s="68">
        <f aca="true" t="shared" si="123" ref="BR81:BW81">SUM(BR82:BR83)</f>
        <v>43445</v>
      </c>
      <c r="BS81" s="68">
        <f t="shared" si="123"/>
        <v>40951</v>
      </c>
      <c r="BT81" s="68">
        <f t="shared" si="123"/>
        <v>41555</v>
      </c>
      <c r="BU81" s="68">
        <f t="shared" si="123"/>
        <v>42594</v>
      </c>
      <c r="BV81" s="68">
        <f t="shared" si="123"/>
        <v>43645</v>
      </c>
      <c r="BW81" s="68">
        <f t="shared" si="123"/>
        <v>45270</v>
      </c>
      <c r="BX81" s="68">
        <f aca="true" t="shared" si="124" ref="BX81:CC81">SUM(BX82:BX83)</f>
        <v>42799</v>
      </c>
      <c r="BY81" s="68">
        <f t="shared" si="124"/>
        <v>43054</v>
      </c>
      <c r="BZ81" s="68">
        <f t="shared" si="124"/>
        <v>40665</v>
      </c>
      <c r="CA81" s="68">
        <f t="shared" si="124"/>
        <v>40778</v>
      </c>
      <c r="CB81" s="83">
        <f t="shared" si="124"/>
        <v>42985</v>
      </c>
      <c r="CC81" s="83">
        <f t="shared" si="124"/>
        <v>44856</v>
      </c>
      <c r="CD81" s="83">
        <f aca="true" t="shared" si="125" ref="CD81:CO81">SUM(CD82:CD83)</f>
        <v>45177</v>
      </c>
      <c r="CE81" s="83">
        <f t="shared" si="125"/>
        <v>45920</v>
      </c>
      <c r="CF81" s="83">
        <f t="shared" si="125"/>
        <v>46316</v>
      </c>
      <c r="CG81" s="83">
        <f t="shared" si="125"/>
        <v>46825</v>
      </c>
      <c r="CH81" s="83">
        <f t="shared" si="125"/>
        <v>48327</v>
      </c>
      <c r="CI81" s="83">
        <f t="shared" si="125"/>
        <v>53810</v>
      </c>
      <c r="CJ81" s="83">
        <f t="shared" si="125"/>
        <v>51742</v>
      </c>
      <c r="CK81" s="83">
        <f t="shared" si="125"/>
        <v>49924</v>
      </c>
      <c r="CL81" s="83">
        <f>SUM(CL82:CL83)</f>
        <v>48369</v>
      </c>
      <c r="CM81" s="83">
        <f t="shared" si="125"/>
        <v>53014</v>
      </c>
      <c r="CN81" s="83">
        <f t="shared" si="125"/>
        <v>52572</v>
      </c>
      <c r="CO81" s="83">
        <f t="shared" si="125"/>
        <v>53295</v>
      </c>
      <c r="CP81" s="83">
        <f aca="true" t="shared" si="126" ref="CP81:CU81">SUM(CP82:CP83)</f>
        <v>54630</v>
      </c>
      <c r="CQ81" s="83">
        <f t="shared" si="126"/>
        <v>55350</v>
      </c>
      <c r="CR81" s="83">
        <f t="shared" si="126"/>
        <v>55240</v>
      </c>
      <c r="CS81" s="83">
        <f t="shared" si="126"/>
        <v>56950</v>
      </c>
      <c r="CT81" s="83">
        <f t="shared" si="126"/>
        <v>58228</v>
      </c>
      <c r="CU81" s="83">
        <f t="shared" si="126"/>
        <v>58698</v>
      </c>
      <c r="CV81" s="83">
        <f aca="true" t="shared" si="127" ref="CV81:DA81">SUM(CV82:CV83)</f>
        <v>56209</v>
      </c>
      <c r="CW81" s="83">
        <f t="shared" si="127"/>
        <v>56594</v>
      </c>
      <c r="CX81" s="83">
        <f>SUM(CX82:CX83)</f>
        <v>56537</v>
      </c>
      <c r="CY81" s="83">
        <f t="shared" si="127"/>
        <v>59768</v>
      </c>
      <c r="CZ81" s="83">
        <f t="shared" si="127"/>
        <v>59596</v>
      </c>
      <c r="DA81" s="83">
        <f t="shared" si="127"/>
        <v>60872</v>
      </c>
      <c r="DB81" s="83">
        <f aca="true" t="shared" si="128" ref="DB81:DG81">SUM(DB82:DB83)</f>
        <v>60366</v>
      </c>
      <c r="DC81" s="83">
        <f t="shared" si="128"/>
        <v>60583</v>
      </c>
      <c r="DD81" s="78">
        <f t="shared" si="128"/>
        <v>59879</v>
      </c>
      <c r="DE81" s="78">
        <f t="shared" si="128"/>
        <v>60747</v>
      </c>
      <c r="DF81" s="78">
        <f>SUM(DF82:DF83)</f>
        <v>61364</v>
      </c>
      <c r="DG81" s="78">
        <f t="shared" si="128"/>
        <v>63391</v>
      </c>
      <c r="DH81" s="83">
        <f aca="true" t="shared" si="129" ref="DH81:DM81">SUM(DH82:DH83)</f>
        <v>62047</v>
      </c>
      <c r="DI81" s="83">
        <f t="shared" si="129"/>
        <v>64258</v>
      </c>
      <c r="DJ81" s="83">
        <f t="shared" si="129"/>
        <v>65258</v>
      </c>
      <c r="DK81" s="83">
        <f t="shared" si="129"/>
        <v>67801</v>
      </c>
      <c r="DL81" s="83">
        <f t="shared" si="129"/>
        <v>69004</v>
      </c>
      <c r="DM81" s="79">
        <f t="shared" si="129"/>
        <v>69505</v>
      </c>
      <c r="DN81" s="79">
        <f aca="true" t="shared" si="130" ref="DN81:DS81">SUM(DN82:DN83)</f>
        <v>68629</v>
      </c>
      <c r="DO81" s="79">
        <f t="shared" si="130"/>
        <v>69648</v>
      </c>
      <c r="DP81" s="79">
        <f t="shared" si="130"/>
        <v>70419</v>
      </c>
      <c r="DQ81" s="79">
        <f t="shared" si="130"/>
        <v>70278</v>
      </c>
      <c r="DR81" s="79">
        <f t="shared" si="130"/>
        <v>70904</v>
      </c>
      <c r="DS81" s="79">
        <f t="shared" si="130"/>
        <v>73259</v>
      </c>
      <c r="DT81" s="79">
        <f>SUM(DT82:DT83)</f>
        <v>71158</v>
      </c>
      <c r="DU81" s="79">
        <f aca="true" t="shared" si="131" ref="DU81:DZ81">SUM(DU82:DU83)</f>
        <v>71061</v>
      </c>
      <c r="DV81" s="81">
        <f>SUM(DV82:DV83)</f>
        <v>70930</v>
      </c>
      <c r="DW81" s="79">
        <f t="shared" si="131"/>
        <v>68843</v>
      </c>
      <c r="DX81" s="79">
        <f t="shared" si="131"/>
        <v>67474</v>
      </c>
      <c r="DY81" s="79">
        <f t="shared" si="131"/>
        <v>64640</v>
      </c>
      <c r="DZ81" s="79">
        <f t="shared" si="131"/>
        <v>67859</v>
      </c>
      <c r="EA81" s="79">
        <f aca="true" t="shared" si="132" ref="EA81:EF81">SUM(EA82:EA83)</f>
        <v>66439</v>
      </c>
      <c r="EB81" s="79">
        <f t="shared" si="132"/>
        <v>67474</v>
      </c>
      <c r="EC81" s="79">
        <f t="shared" si="132"/>
        <v>67068</v>
      </c>
      <c r="ED81" s="79">
        <f t="shared" si="132"/>
        <v>66341</v>
      </c>
      <c r="EE81" s="81">
        <f t="shared" si="132"/>
        <v>66231</v>
      </c>
      <c r="EF81" s="81">
        <f t="shared" si="132"/>
        <v>60641</v>
      </c>
      <c r="EG81" s="79">
        <f aca="true" t="shared" si="133" ref="EG81:EL81">SUM(EG82:EG83)</f>
        <v>61133</v>
      </c>
      <c r="EH81" s="79">
        <f t="shared" si="133"/>
        <v>63993</v>
      </c>
      <c r="EI81" s="79">
        <f t="shared" si="133"/>
        <v>64520</v>
      </c>
      <c r="EJ81" s="79">
        <f t="shared" si="133"/>
        <v>64782</v>
      </c>
      <c r="EK81" s="79">
        <f t="shared" si="133"/>
        <v>63078</v>
      </c>
      <c r="EL81" s="79">
        <f t="shared" si="133"/>
        <v>60277</v>
      </c>
      <c r="EM81" s="79">
        <f aca="true" t="shared" si="134" ref="EM81:EW81">SUM(EM82:EM83)</f>
        <v>59184</v>
      </c>
      <c r="EN81" s="79">
        <f t="shared" si="134"/>
        <v>58823</v>
      </c>
      <c r="EO81" s="79">
        <f t="shared" si="134"/>
        <v>58475</v>
      </c>
      <c r="EP81" s="79">
        <f t="shared" si="134"/>
        <v>58116</v>
      </c>
      <c r="EQ81" s="79">
        <f t="shared" si="134"/>
        <v>57888</v>
      </c>
      <c r="ER81" s="79">
        <f t="shared" si="134"/>
        <v>56204</v>
      </c>
      <c r="ES81" s="271">
        <f>SUM(ES82:ES83)</f>
        <v>57479</v>
      </c>
      <c r="ET81" s="271">
        <f t="shared" si="134"/>
        <v>58974</v>
      </c>
      <c r="EU81" s="271">
        <f t="shared" si="134"/>
        <v>59838</v>
      </c>
      <c r="EV81" s="271">
        <f>SUM(EV82:EV83)</f>
        <v>59889</v>
      </c>
      <c r="EW81" s="271">
        <f t="shared" si="134"/>
        <v>60220</v>
      </c>
      <c r="EX81" s="79">
        <f aca="true" t="shared" si="135" ref="EX81:FM81">SUM(EX82:EX83)</f>
        <v>61318</v>
      </c>
      <c r="EY81" s="79">
        <f t="shared" si="135"/>
        <v>59726</v>
      </c>
      <c r="EZ81" s="79">
        <f t="shared" si="135"/>
        <v>60818</v>
      </c>
      <c r="FA81" s="79">
        <f t="shared" si="135"/>
        <v>61979</v>
      </c>
      <c r="FB81" s="79">
        <f t="shared" si="135"/>
        <v>61297</v>
      </c>
      <c r="FC81" s="79">
        <f>SUM(FC82:FC83)</f>
        <v>62591</v>
      </c>
      <c r="FD81" s="310">
        <f t="shared" si="135"/>
        <v>62032</v>
      </c>
      <c r="FE81" s="95">
        <f t="shared" si="135"/>
        <v>61368</v>
      </c>
      <c r="FF81" s="95">
        <f t="shared" si="135"/>
        <v>60500</v>
      </c>
      <c r="FG81" s="95">
        <f t="shared" si="135"/>
        <v>58026</v>
      </c>
      <c r="FH81" s="95">
        <f t="shared" si="135"/>
        <v>57878</v>
      </c>
      <c r="FI81" s="95">
        <f t="shared" si="135"/>
        <v>58597</v>
      </c>
      <c r="FJ81" s="95">
        <f t="shared" si="135"/>
        <v>57730</v>
      </c>
      <c r="FK81" s="95">
        <f t="shared" si="135"/>
        <v>57273</v>
      </c>
      <c r="FL81" s="95">
        <f t="shared" si="135"/>
        <v>57453</v>
      </c>
      <c r="FM81" s="95">
        <f t="shared" si="135"/>
        <v>56350</v>
      </c>
      <c r="FN81" s="95">
        <f aca="true" t="shared" si="136" ref="FN81:FS81">SUM(FN82:FN83)</f>
        <v>56951</v>
      </c>
      <c r="FO81" s="311">
        <f t="shared" si="136"/>
        <v>60506</v>
      </c>
      <c r="FP81" s="310">
        <f>SUM(FP82:FP83)</f>
        <v>58131</v>
      </c>
      <c r="FQ81" s="95">
        <f>SUM(FQ82:FQ83)</f>
        <v>57037</v>
      </c>
      <c r="FR81" s="95">
        <f t="shared" si="136"/>
        <v>56519</v>
      </c>
      <c r="FS81" s="95">
        <f t="shared" si="136"/>
        <v>56140</v>
      </c>
      <c r="FT81" s="95">
        <f aca="true" t="shared" si="137" ref="FT81:FY81">SUM(FT82:FT83)</f>
        <v>57104</v>
      </c>
      <c r="FU81" s="95">
        <f t="shared" si="137"/>
        <v>58449</v>
      </c>
      <c r="FV81" s="95">
        <f t="shared" si="137"/>
        <v>59100</v>
      </c>
      <c r="FW81" s="95">
        <f t="shared" si="137"/>
        <v>60563</v>
      </c>
      <c r="FX81" s="95">
        <f t="shared" si="137"/>
        <v>61222</v>
      </c>
      <c r="FY81" s="95">
        <f t="shared" si="137"/>
        <v>60867</v>
      </c>
      <c r="FZ81" s="95">
        <f>SUM(FZ82:FZ83)</f>
        <v>62916</v>
      </c>
      <c r="GA81" s="311">
        <f>SUM(GA82:GA83)</f>
        <v>62143</v>
      </c>
      <c r="GB81" s="310">
        <f>SUM(GB82:GB83)</f>
        <v>62683</v>
      </c>
      <c r="GC81" s="95">
        <f>SUM(GC82:GC83)</f>
        <v>61999</v>
      </c>
      <c r="GD81" s="311">
        <f>SUM(GD82:GD83)</f>
        <v>63359</v>
      </c>
      <c r="GE81" s="3"/>
      <c r="GF81" s="3"/>
      <c r="GG81" s="3"/>
      <c r="GH81" s="3"/>
      <c r="GI81" s="132"/>
    </row>
    <row r="82" spans="1:192" s="56" customFormat="1" ht="15" customHeight="1">
      <c r="A82" s="14" t="s">
        <v>60</v>
      </c>
      <c r="B82" s="241" t="s">
        <v>39</v>
      </c>
      <c r="C82" s="84">
        <v>4630</v>
      </c>
      <c r="D82" s="84">
        <v>5251</v>
      </c>
      <c r="E82" s="84">
        <v>5432</v>
      </c>
      <c r="F82" s="68">
        <v>5606</v>
      </c>
      <c r="G82" s="68">
        <v>5846</v>
      </c>
      <c r="H82" s="68">
        <v>6036</v>
      </c>
      <c r="I82" s="68">
        <v>6512</v>
      </c>
      <c r="J82" s="68">
        <v>6607</v>
      </c>
      <c r="K82" s="68">
        <v>6766</v>
      </c>
      <c r="L82" s="68">
        <v>6818</v>
      </c>
      <c r="M82" s="68">
        <v>6652</v>
      </c>
      <c r="N82" s="84">
        <v>6872</v>
      </c>
      <c r="O82" s="84">
        <v>7163</v>
      </c>
      <c r="P82" s="84">
        <v>7578</v>
      </c>
      <c r="Q82" s="84">
        <v>8278</v>
      </c>
      <c r="R82" s="84">
        <v>8561</v>
      </c>
      <c r="S82" s="84">
        <v>8333</v>
      </c>
      <c r="T82" s="84">
        <v>8411</v>
      </c>
      <c r="U82" s="84">
        <v>8342</v>
      </c>
      <c r="V82" s="84">
        <v>8334</v>
      </c>
      <c r="W82" s="84">
        <v>8426</v>
      </c>
      <c r="X82" s="83">
        <v>8373</v>
      </c>
      <c r="Y82" s="84">
        <v>8669</v>
      </c>
      <c r="Z82" s="84">
        <v>8487</v>
      </c>
      <c r="AA82" s="84">
        <v>9113</v>
      </c>
      <c r="AB82" s="84">
        <v>9448</v>
      </c>
      <c r="AC82" s="84">
        <v>9518</v>
      </c>
      <c r="AD82" s="84">
        <v>9633</v>
      </c>
      <c r="AE82" s="84">
        <v>9439</v>
      </c>
      <c r="AF82" s="84">
        <v>9388</v>
      </c>
      <c r="AG82" s="84">
        <v>9514</v>
      </c>
      <c r="AH82" s="84">
        <v>9585</v>
      </c>
      <c r="AI82" s="84">
        <v>9719</v>
      </c>
      <c r="AJ82" s="84">
        <v>9294</v>
      </c>
      <c r="AK82" s="84">
        <v>9456</v>
      </c>
      <c r="AL82" s="84">
        <v>9637</v>
      </c>
      <c r="AM82" s="84">
        <v>10968</v>
      </c>
      <c r="AN82" s="84">
        <v>11245</v>
      </c>
      <c r="AO82" s="84">
        <v>11475</v>
      </c>
      <c r="AP82" s="84">
        <v>11552</v>
      </c>
      <c r="AQ82" s="84">
        <v>11575</v>
      </c>
      <c r="AR82" s="83">
        <v>11843</v>
      </c>
      <c r="AS82" s="83">
        <v>11979</v>
      </c>
      <c r="AT82" s="83">
        <v>12154</v>
      </c>
      <c r="AU82" s="83">
        <v>12666</v>
      </c>
      <c r="AV82" s="83">
        <v>12507</v>
      </c>
      <c r="AW82" s="83">
        <v>12893</v>
      </c>
      <c r="AX82" s="83">
        <v>13104</v>
      </c>
      <c r="AY82" s="83">
        <v>14232</v>
      </c>
      <c r="AZ82" s="83">
        <v>14353</v>
      </c>
      <c r="BA82" s="83">
        <v>14747</v>
      </c>
      <c r="BB82" s="83">
        <v>15103</v>
      </c>
      <c r="BC82" s="83">
        <v>15182</v>
      </c>
      <c r="BD82" s="83">
        <v>15560</v>
      </c>
      <c r="BE82" s="83">
        <v>16491</v>
      </c>
      <c r="BF82" s="83">
        <v>17281</v>
      </c>
      <c r="BG82" s="83">
        <v>17366</v>
      </c>
      <c r="BH82" s="83">
        <v>18369</v>
      </c>
      <c r="BI82" s="83">
        <v>18034</v>
      </c>
      <c r="BJ82" s="83">
        <v>18095</v>
      </c>
      <c r="BK82" s="83">
        <v>18493</v>
      </c>
      <c r="BL82" s="83">
        <v>19581</v>
      </c>
      <c r="BM82" s="83">
        <v>19930</v>
      </c>
      <c r="BN82" s="83">
        <v>19896</v>
      </c>
      <c r="BO82" s="83">
        <v>19769</v>
      </c>
      <c r="BP82" s="85">
        <v>19894</v>
      </c>
      <c r="BQ82" s="85">
        <v>19764</v>
      </c>
      <c r="BR82" s="79">
        <v>20576</v>
      </c>
      <c r="BS82" s="79">
        <v>20452</v>
      </c>
      <c r="BT82" s="79">
        <v>21148</v>
      </c>
      <c r="BU82" s="79">
        <v>20933</v>
      </c>
      <c r="BV82" s="79">
        <v>21305</v>
      </c>
      <c r="BW82" s="79">
        <v>21776</v>
      </c>
      <c r="BX82" s="79">
        <v>21517</v>
      </c>
      <c r="BY82" s="79">
        <v>21902</v>
      </c>
      <c r="BZ82" s="79">
        <v>22656</v>
      </c>
      <c r="CA82" s="79">
        <v>23242</v>
      </c>
      <c r="CB82" s="79">
        <v>23344</v>
      </c>
      <c r="CC82" s="79">
        <v>23586</v>
      </c>
      <c r="CD82" s="79">
        <v>23755</v>
      </c>
      <c r="CE82" s="79">
        <v>23362</v>
      </c>
      <c r="CF82" s="79">
        <v>23168</v>
      </c>
      <c r="CG82" s="79">
        <v>23368</v>
      </c>
      <c r="CH82" s="79">
        <v>23881</v>
      </c>
      <c r="CI82" s="79">
        <v>24342</v>
      </c>
      <c r="CJ82" s="85">
        <v>24435</v>
      </c>
      <c r="CK82" s="85">
        <v>24356</v>
      </c>
      <c r="CL82" s="85">
        <v>24747</v>
      </c>
      <c r="CM82" s="85">
        <v>24987</v>
      </c>
      <c r="CN82" s="79">
        <v>25197</v>
      </c>
      <c r="CO82" s="79">
        <v>25331</v>
      </c>
      <c r="CP82" s="79">
        <v>25358</v>
      </c>
      <c r="CQ82" s="79">
        <v>26308</v>
      </c>
      <c r="CR82" s="79">
        <v>25849</v>
      </c>
      <c r="CS82" s="79">
        <v>26762</v>
      </c>
      <c r="CT82" s="79">
        <v>26866</v>
      </c>
      <c r="CU82" s="79">
        <v>28287</v>
      </c>
      <c r="CV82" s="79">
        <v>28030</v>
      </c>
      <c r="CW82" s="79">
        <v>28823</v>
      </c>
      <c r="CX82" s="79">
        <v>29139</v>
      </c>
      <c r="CY82" s="79">
        <v>29803</v>
      </c>
      <c r="CZ82" s="79">
        <v>29600</v>
      </c>
      <c r="DA82" s="79">
        <v>30701</v>
      </c>
      <c r="DB82" s="79">
        <v>30899</v>
      </c>
      <c r="DC82" s="79">
        <v>30952</v>
      </c>
      <c r="DD82" s="85">
        <v>29982</v>
      </c>
      <c r="DE82" s="85">
        <v>29753</v>
      </c>
      <c r="DF82" s="85">
        <v>29752</v>
      </c>
      <c r="DG82" s="83">
        <v>30594</v>
      </c>
      <c r="DH82" s="83">
        <v>30820</v>
      </c>
      <c r="DI82" s="83">
        <v>31014</v>
      </c>
      <c r="DJ82" s="83">
        <v>32111</v>
      </c>
      <c r="DK82" s="79">
        <v>33434</v>
      </c>
      <c r="DL82" s="79">
        <v>34178</v>
      </c>
      <c r="DM82" s="79">
        <v>34137</v>
      </c>
      <c r="DN82" s="79">
        <v>33737</v>
      </c>
      <c r="DO82" s="79">
        <v>33647</v>
      </c>
      <c r="DP82" s="79">
        <v>34115</v>
      </c>
      <c r="DQ82" s="79">
        <v>34604</v>
      </c>
      <c r="DR82" s="79">
        <v>34501</v>
      </c>
      <c r="DS82" s="83">
        <v>34995</v>
      </c>
      <c r="DT82" s="83">
        <v>35204</v>
      </c>
      <c r="DU82" s="83">
        <v>34485</v>
      </c>
      <c r="DV82" s="79">
        <v>34441</v>
      </c>
      <c r="DW82" s="83">
        <v>35491</v>
      </c>
      <c r="DX82" s="83">
        <v>35582</v>
      </c>
      <c r="DY82" s="83">
        <v>36409</v>
      </c>
      <c r="DZ82" s="79">
        <v>37268</v>
      </c>
      <c r="EA82" s="79">
        <v>35874</v>
      </c>
      <c r="EB82" s="79">
        <v>34963</v>
      </c>
      <c r="EC82" s="79">
        <v>35388</v>
      </c>
      <c r="ED82" s="79">
        <v>34689</v>
      </c>
      <c r="EE82" s="79">
        <v>36072</v>
      </c>
      <c r="EF82" s="79">
        <v>35107</v>
      </c>
      <c r="EG82" s="79">
        <v>36622</v>
      </c>
      <c r="EH82" s="79">
        <v>39112</v>
      </c>
      <c r="EI82" s="79">
        <v>40243</v>
      </c>
      <c r="EJ82" s="79">
        <v>40365</v>
      </c>
      <c r="EK82" s="79">
        <v>39905</v>
      </c>
      <c r="EL82" s="79">
        <v>38728</v>
      </c>
      <c r="EM82" s="79">
        <v>36737</v>
      </c>
      <c r="EN82" s="79">
        <v>35972</v>
      </c>
      <c r="EO82" s="79">
        <v>35645</v>
      </c>
      <c r="EP82" s="79">
        <v>34993</v>
      </c>
      <c r="EQ82" s="79">
        <v>34855</v>
      </c>
      <c r="ER82" s="79">
        <v>35169</v>
      </c>
      <c r="ES82" s="271">
        <v>35900</v>
      </c>
      <c r="ET82" s="271">
        <v>37525</v>
      </c>
      <c r="EU82" s="271">
        <v>39150</v>
      </c>
      <c r="EV82" s="271">
        <v>39345</v>
      </c>
      <c r="EW82" s="271">
        <v>39994</v>
      </c>
      <c r="EX82" s="79">
        <v>40407</v>
      </c>
      <c r="EY82" s="79">
        <v>40502</v>
      </c>
      <c r="EZ82" s="79">
        <v>41271</v>
      </c>
      <c r="FA82" s="79">
        <v>41491</v>
      </c>
      <c r="FB82" s="79">
        <v>41159</v>
      </c>
      <c r="FC82" s="79">
        <v>42075</v>
      </c>
      <c r="FD82" s="310">
        <v>40804</v>
      </c>
      <c r="FE82" s="95">
        <v>40474</v>
      </c>
      <c r="FF82" s="95">
        <v>40175</v>
      </c>
      <c r="FG82" s="95">
        <v>39725</v>
      </c>
      <c r="FH82" s="95">
        <v>39976</v>
      </c>
      <c r="FI82" s="95">
        <v>41343</v>
      </c>
      <c r="FJ82" s="95">
        <v>41236</v>
      </c>
      <c r="FK82" s="95">
        <v>41043</v>
      </c>
      <c r="FL82" s="95">
        <v>40702</v>
      </c>
      <c r="FM82" s="95">
        <v>40671</v>
      </c>
      <c r="FN82" s="95">
        <v>39938</v>
      </c>
      <c r="FO82" s="311">
        <v>40343</v>
      </c>
      <c r="FP82" s="310">
        <v>39370</v>
      </c>
      <c r="FQ82" s="95">
        <v>38887</v>
      </c>
      <c r="FR82" s="95">
        <v>38213</v>
      </c>
      <c r="FS82" s="95">
        <v>38054</v>
      </c>
      <c r="FT82" s="95">
        <v>38853</v>
      </c>
      <c r="FU82" s="95">
        <v>39564</v>
      </c>
      <c r="FV82" s="95">
        <v>39609</v>
      </c>
      <c r="FW82" s="95">
        <v>39496</v>
      </c>
      <c r="FX82" s="95">
        <v>39800</v>
      </c>
      <c r="FY82" s="95">
        <v>40513</v>
      </c>
      <c r="FZ82" s="95">
        <v>39878</v>
      </c>
      <c r="GA82" s="311">
        <v>40498</v>
      </c>
      <c r="GB82" s="434">
        <v>39782</v>
      </c>
      <c r="GC82" s="326">
        <v>40601</v>
      </c>
      <c r="GD82" s="417">
        <v>41357</v>
      </c>
      <c r="GE82" s="49"/>
      <c r="GF82" s="49"/>
      <c r="GG82" s="49"/>
      <c r="GH82" s="49"/>
      <c r="GI82" s="379"/>
      <c r="GJ82" s="48"/>
    </row>
    <row r="83" spans="1:191" ht="15" customHeight="1">
      <c r="A83" s="6"/>
      <c r="B83" s="254" t="s">
        <v>40</v>
      </c>
      <c r="C83" s="67">
        <f aca="true" t="shared" si="138" ref="C83:Q83">SUM(C84+C85+C86)</f>
        <v>2078</v>
      </c>
      <c r="D83" s="67">
        <f t="shared" si="138"/>
        <v>1897</v>
      </c>
      <c r="E83" s="67">
        <f t="shared" si="138"/>
        <v>1909</v>
      </c>
      <c r="F83" s="67">
        <f t="shared" si="138"/>
        <v>1765</v>
      </c>
      <c r="G83" s="67">
        <f>SUM(G84+G85+G86)</f>
        <v>1981</v>
      </c>
      <c r="H83" s="67">
        <f t="shared" si="138"/>
        <v>2315</v>
      </c>
      <c r="I83" s="67">
        <f t="shared" si="138"/>
        <v>2530</v>
      </c>
      <c r="J83" s="67">
        <f t="shared" si="138"/>
        <v>3886</v>
      </c>
      <c r="K83" s="67">
        <f t="shared" si="138"/>
        <v>4007</v>
      </c>
      <c r="L83" s="67">
        <f t="shared" si="138"/>
        <v>4025</v>
      </c>
      <c r="M83" s="67">
        <f t="shared" si="138"/>
        <v>4126</v>
      </c>
      <c r="N83" s="67">
        <f t="shared" si="138"/>
        <v>4695</v>
      </c>
      <c r="O83" s="67">
        <f t="shared" si="138"/>
        <v>5056</v>
      </c>
      <c r="P83" s="67">
        <f t="shared" si="138"/>
        <v>5327</v>
      </c>
      <c r="Q83" s="67">
        <f t="shared" si="138"/>
        <v>5786</v>
      </c>
      <c r="R83" s="67">
        <f>SUM(R84+R85+R86)</f>
        <v>5338.101000000001</v>
      </c>
      <c r="S83" s="67">
        <f aca="true" t="shared" si="139" ref="S83:AE83">SUM(S84+S85+S86)</f>
        <v>4907.339</v>
      </c>
      <c r="T83" s="67">
        <f t="shared" si="139"/>
        <v>4892.898</v>
      </c>
      <c r="U83" s="67">
        <f t="shared" si="139"/>
        <v>5494.813</v>
      </c>
      <c r="V83" s="67">
        <f t="shared" si="139"/>
        <v>4820</v>
      </c>
      <c r="W83" s="67">
        <f t="shared" si="139"/>
        <v>4594.849</v>
      </c>
      <c r="X83" s="67">
        <f t="shared" si="139"/>
        <v>4816</v>
      </c>
      <c r="Y83" s="67">
        <f t="shared" si="139"/>
        <v>4556</v>
      </c>
      <c r="Z83" s="67">
        <f t="shared" si="139"/>
        <v>5159</v>
      </c>
      <c r="AA83" s="67">
        <f t="shared" si="139"/>
        <v>4682</v>
      </c>
      <c r="AB83" s="67">
        <f t="shared" si="139"/>
        <v>4442</v>
      </c>
      <c r="AC83" s="67">
        <f t="shared" si="139"/>
        <v>4622</v>
      </c>
      <c r="AD83" s="67">
        <f t="shared" si="139"/>
        <v>4827</v>
      </c>
      <c r="AE83" s="67">
        <f t="shared" si="139"/>
        <v>5194</v>
      </c>
      <c r="AF83" s="67">
        <f aca="true" t="shared" si="140" ref="AF83:AK83">SUM(AF84+AF85+AF86)</f>
        <v>5719</v>
      </c>
      <c r="AG83" s="67">
        <f t="shared" si="140"/>
        <v>5938</v>
      </c>
      <c r="AH83" s="67">
        <f t="shared" si="140"/>
        <v>6303</v>
      </c>
      <c r="AI83" s="67">
        <f t="shared" si="140"/>
        <v>6189</v>
      </c>
      <c r="AJ83" s="67">
        <f t="shared" si="140"/>
        <v>6453</v>
      </c>
      <c r="AK83" s="67">
        <f t="shared" si="140"/>
        <v>6420</v>
      </c>
      <c r="AL83" s="161">
        <f aca="true" t="shared" si="141" ref="AL83:AQ83">SUM(AL84:AL86)</f>
        <v>6834</v>
      </c>
      <c r="AM83" s="161">
        <f t="shared" si="141"/>
        <v>6553</v>
      </c>
      <c r="AN83" s="161">
        <f t="shared" si="141"/>
        <v>6473</v>
      </c>
      <c r="AO83" s="161">
        <f t="shared" si="141"/>
        <v>5679</v>
      </c>
      <c r="AP83" s="173">
        <f t="shared" si="141"/>
        <v>6091</v>
      </c>
      <c r="AQ83" s="173">
        <f t="shared" si="141"/>
        <v>6891</v>
      </c>
      <c r="AR83" s="173">
        <f aca="true" t="shared" si="142" ref="AR83:AW83">SUM(AR84:AR86)</f>
        <v>7607</v>
      </c>
      <c r="AS83" s="173">
        <f t="shared" si="142"/>
        <v>8444</v>
      </c>
      <c r="AT83" s="173">
        <f t="shared" si="142"/>
        <v>7828</v>
      </c>
      <c r="AU83" s="173">
        <f t="shared" si="142"/>
        <v>7449</v>
      </c>
      <c r="AV83" s="173">
        <f t="shared" si="142"/>
        <v>13409</v>
      </c>
      <c r="AW83" s="173">
        <f t="shared" si="142"/>
        <v>13334</v>
      </c>
      <c r="AX83" s="173">
        <f aca="true" t="shared" si="143" ref="AX83:BE83">SUM(AX84:AX86)</f>
        <v>14469</v>
      </c>
      <c r="AY83" s="173">
        <f t="shared" si="143"/>
        <v>14576</v>
      </c>
      <c r="AZ83" s="173">
        <f t="shared" si="143"/>
        <v>15520</v>
      </c>
      <c r="BA83" s="173">
        <f t="shared" si="143"/>
        <v>17797</v>
      </c>
      <c r="BB83" s="173">
        <f t="shared" si="143"/>
        <v>18298</v>
      </c>
      <c r="BC83" s="173">
        <f t="shared" si="143"/>
        <v>16424</v>
      </c>
      <c r="BD83" s="173">
        <f t="shared" si="143"/>
        <v>17531</v>
      </c>
      <c r="BE83" s="173">
        <f t="shared" si="143"/>
        <v>20026</v>
      </c>
      <c r="BF83" s="173">
        <f aca="true" t="shared" si="144" ref="BF83:BK83">SUM(BF84:BF86)</f>
        <v>21066</v>
      </c>
      <c r="BG83" s="173">
        <f t="shared" si="144"/>
        <v>21116</v>
      </c>
      <c r="BH83" s="173">
        <f t="shared" si="144"/>
        <v>18662</v>
      </c>
      <c r="BI83" s="173">
        <f t="shared" si="144"/>
        <v>20531</v>
      </c>
      <c r="BJ83" s="173">
        <f t="shared" si="144"/>
        <v>21706</v>
      </c>
      <c r="BK83" s="173">
        <f t="shared" si="144"/>
        <v>24366</v>
      </c>
      <c r="BL83" s="173">
        <f aca="true" t="shared" si="145" ref="BL83:BR83">SUM(BL84:BL86)</f>
        <v>22947</v>
      </c>
      <c r="BM83" s="173">
        <f t="shared" si="145"/>
        <v>23041</v>
      </c>
      <c r="BN83" s="173">
        <f>SUM(BN84:BN86)</f>
        <v>22137</v>
      </c>
      <c r="BO83" s="173">
        <f t="shared" si="145"/>
        <v>22252</v>
      </c>
      <c r="BP83" s="173">
        <f t="shared" si="145"/>
        <v>22086</v>
      </c>
      <c r="BQ83" s="173">
        <f t="shared" si="145"/>
        <v>22387</v>
      </c>
      <c r="BR83" s="173">
        <f t="shared" si="145"/>
        <v>22869</v>
      </c>
      <c r="BS83" s="173">
        <f aca="true" t="shared" si="146" ref="BS83:BX83">SUM(BS84:BS86)</f>
        <v>20499</v>
      </c>
      <c r="BT83" s="173">
        <f t="shared" si="146"/>
        <v>20407</v>
      </c>
      <c r="BU83" s="173">
        <f t="shared" si="146"/>
        <v>21661</v>
      </c>
      <c r="BV83" s="173">
        <f t="shared" si="146"/>
        <v>22340</v>
      </c>
      <c r="BW83" s="173">
        <f t="shared" si="146"/>
        <v>23494</v>
      </c>
      <c r="BX83" s="173">
        <f t="shared" si="146"/>
        <v>21282</v>
      </c>
      <c r="BY83" s="173">
        <f aca="true" t="shared" si="147" ref="BY83:CE83">SUM(BY84:BY86)</f>
        <v>21152</v>
      </c>
      <c r="BZ83" s="173">
        <f t="shared" si="147"/>
        <v>18009</v>
      </c>
      <c r="CA83" s="173">
        <f t="shared" si="147"/>
        <v>17536</v>
      </c>
      <c r="CB83" s="79">
        <f t="shared" si="147"/>
        <v>19641</v>
      </c>
      <c r="CC83" s="79">
        <f t="shared" si="147"/>
        <v>21270</v>
      </c>
      <c r="CD83" s="79">
        <f t="shared" si="147"/>
        <v>21422</v>
      </c>
      <c r="CE83" s="79">
        <f t="shared" si="147"/>
        <v>22558</v>
      </c>
      <c r="CF83" s="79">
        <f aca="true" t="shared" si="148" ref="CF83:CL83">SUM(CF84:CF86)</f>
        <v>23148</v>
      </c>
      <c r="CG83" s="79">
        <f t="shared" si="148"/>
        <v>23457</v>
      </c>
      <c r="CH83" s="79">
        <f t="shared" si="148"/>
        <v>24446</v>
      </c>
      <c r="CI83" s="79">
        <f t="shared" si="148"/>
        <v>29468</v>
      </c>
      <c r="CJ83" s="79">
        <f t="shared" si="148"/>
        <v>27307</v>
      </c>
      <c r="CK83" s="79">
        <f t="shared" si="148"/>
        <v>25568</v>
      </c>
      <c r="CL83" s="79">
        <f t="shared" si="148"/>
        <v>23622</v>
      </c>
      <c r="CM83" s="79">
        <f aca="true" t="shared" si="149" ref="CM83:CR83">SUM(CM84:CM86)</f>
        <v>28027</v>
      </c>
      <c r="CN83" s="79">
        <f t="shared" si="149"/>
        <v>27375</v>
      </c>
      <c r="CO83" s="79">
        <f t="shared" si="149"/>
        <v>27964</v>
      </c>
      <c r="CP83" s="79">
        <f t="shared" si="149"/>
        <v>29272</v>
      </c>
      <c r="CQ83" s="79">
        <f t="shared" si="149"/>
        <v>29042</v>
      </c>
      <c r="CR83" s="79">
        <f t="shared" si="149"/>
        <v>29391</v>
      </c>
      <c r="CS83" s="79">
        <f aca="true" t="shared" si="150" ref="CS83:CX83">SUM(CS84:CS86)</f>
        <v>30188</v>
      </c>
      <c r="CT83" s="79">
        <f t="shared" si="150"/>
        <v>31362</v>
      </c>
      <c r="CU83" s="79">
        <f t="shared" si="150"/>
        <v>30411</v>
      </c>
      <c r="CV83" s="79">
        <f t="shared" si="150"/>
        <v>28179</v>
      </c>
      <c r="CW83" s="79">
        <f t="shared" si="150"/>
        <v>27771</v>
      </c>
      <c r="CX83" s="79">
        <f t="shared" si="150"/>
        <v>27398</v>
      </c>
      <c r="CY83" s="79">
        <f aca="true" t="shared" si="151" ref="CY83:DE83">SUM(CY84:CY86)</f>
        <v>29965</v>
      </c>
      <c r="CZ83" s="79">
        <f t="shared" si="151"/>
        <v>29996</v>
      </c>
      <c r="DA83" s="79">
        <f t="shared" si="151"/>
        <v>30171</v>
      </c>
      <c r="DB83" s="79">
        <f>SUM(DB84:DB86)</f>
        <v>29467</v>
      </c>
      <c r="DC83" s="79">
        <f t="shared" si="151"/>
        <v>29631</v>
      </c>
      <c r="DD83" s="85">
        <f t="shared" si="151"/>
        <v>29897</v>
      </c>
      <c r="DE83" s="85">
        <f t="shared" si="151"/>
        <v>30994</v>
      </c>
      <c r="DF83" s="85">
        <f aca="true" t="shared" si="152" ref="DF83:DK83">SUM(DF84:DF86)</f>
        <v>31612</v>
      </c>
      <c r="DG83" s="85">
        <f t="shared" si="152"/>
        <v>32797</v>
      </c>
      <c r="DH83" s="83">
        <f t="shared" si="152"/>
        <v>31227</v>
      </c>
      <c r="DI83" s="83">
        <f t="shared" si="152"/>
        <v>33244</v>
      </c>
      <c r="DJ83" s="83">
        <f t="shared" si="152"/>
        <v>33147</v>
      </c>
      <c r="DK83" s="79">
        <f t="shared" si="152"/>
        <v>34367</v>
      </c>
      <c r="DL83" s="79">
        <f aca="true" t="shared" si="153" ref="DL83:DQ83">SUM(DL84:DL86)</f>
        <v>34826</v>
      </c>
      <c r="DM83" s="79">
        <f t="shared" si="153"/>
        <v>35368</v>
      </c>
      <c r="DN83" s="79">
        <f t="shared" si="153"/>
        <v>34892</v>
      </c>
      <c r="DO83" s="79">
        <f t="shared" si="153"/>
        <v>36001</v>
      </c>
      <c r="DP83" s="79">
        <f t="shared" si="153"/>
        <v>36304</v>
      </c>
      <c r="DQ83" s="79">
        <f t="shared" si="153"/>
        <v>35674</v>
      </c>
      <c r="DR83" s="79">
        <f aca="true" t="shared" si="154" ref="DR83:DW83">SUM(DR84:DR86)</f>
        <v>36403</v>
      </c>
      <c r="DS83" s="79">
        <f t="shared" si="154"/>
        <v>38264</v>
      </c>
      <c r="DT83" s="79">
        <f t="shared" si="154"/>
        <v>35954</v>
      </c>
      <c r="DU83" s="79">
        <f t="shared" si="154"/>
        <v>36576</v>
      </c>
      <c r="DV83" s="79">
        <f>SUM(DV84:DV86)</f>
        <v>36489</v>
      </c>
      <c r="DW83" s="79">
        <f t="shared" si="154"/>
        <v>33352</v>
      </c>
      <c r="DX83" s="79">
        <f aca="true" t="shared" si="155" ref="DX83:EC83">SUM(DX84:DX86)</f>
        <v>31892</v>
      </c>
      <c r="DY83" s="79">
        <f t="shared" si="155"/>
        <v>28231</v>
      </c>
      <c r="DZ83" s="79">
        <f>SUM(DZ84:DZ86)</f>
        <v>30591</v>
      </c>
      <c r="EA83" s="79">
        <f>SUM(EA84:EA86)</f>
        <v>30565</v>
      </c>
      <c r="EB83" s="79">
        <f>SUM(EB84:EB86)</f>
        <v>32511</v>
      </c>
      <c r="EC83" s="79">
        <f t="shared" si="155"/>
        <v>31680</v>
      </c>
      <c r="ED83" s="79">
        <f aca="true" t="shared" si="156" ref="ED83:EJ83">SUM(ED84:ED86)</f>
        <v>31652</v>
      </c>
      <c r="EE83" s="79">
        <f t="shared" si="156"/>
        <v>30159</v>
      </c>
      <c r="EF83" s="79">
        <f t="shared" si="156"/>
        <v>25534</v>
      </c>
      <c r="EG83" s="79">
        <f t="shared" si="156"/>
        <v>24511</v>
      </c>
      <c r="EH83" s="79">
        <f t="shared" si="156"/>
        <v>24881</v>
      </c>
      <c r="EI83" s="79">
        <f t="shared" si="156"/>
        <v>24277</v>
      </c>
      <c r="EJ83" s="79">
        <f t="shared" si="156"/>
        <v>24417</v>
      </c>
      <c r="EK83" s="79">
        <f aca="true" t="shared" si="157" ref="EK83:ER83">SUM(EK84:EK86)</f>
        <v>23173</v>
      </c>
      <c r="EL83" s="79">
        <f t="shared" si="157"/>
        <v>21549</v>
      </c>
      <c r="EM83" s="79">
        <f t="shared" si="157"/>
        <v>22447</v>
      </c>
      <c r="EN83" s="79">
        <f t="shared" si="157"/>
        <v>22851</v>
      </c>
      <c r="EO83" s="79">
        <f t="shared" si="157"/>
        <v>22830</v>
      </c>
      <c r="EP83" s="79">
        <f t="shared" si="157"/>
        <v>23123</v>
      </c>
      <c r="EQ83" s="271">
        <f t="shared" si="157"/>
        <v>23033</v>
      </c>
      <c r="ER83" s="271">
        <f t="shared" si="157"/>
        <v>21035</v>
      </c>
      <c r="ES83" s="271">
        <f aca="true" t="shared" si="158" ref="ES83:EZ83">SUM(ES84:ES86)</f>
        <v>21579</v>
      </c>
      <c r="ET83" s="271">
        <f t="shared" si="158"/>
        <v>21449</v>
      </c>
      <c r="EU83" s="271">
        <f t="shared" si="158"/>
        <v>20688</v>
      </c>
      <c r="EV83" s="271">
        <f>SUM(EV84:EV86)</f>
        <v>20544</v>
      </c>
      <c r="EW83" s="271">
        <f t="shared" si="158"/>
        <v>20226</v>
      </c>
      <c r="EX83" s="79">
        <f t="shared" si="158"/>
        <v>20911</v>
      </c>
      <c r="EY83" s="79">
        <f>SUM(EY84:EY86)</f>
        <v>19224</v>
      </c>
      <c r="EZ83" s="79">
        <f t="shared" si="158"/>
        <v>19547</v>
      </c>
      <c r="FA83" s="79">
        <f aca="true" t="shared" si="159" ref="FA83:FK83">SUM(FA84:FA86)</f>
        <v>20488</v>
      </c>
      <c r="FB83" s="79">
        <f t="shared" si="159"/>
        <v>20138</v>
      </c>
      <c r="FC83" s="79">
        <f>SUM(FC84:FC86)</f>
        <v>20516</v>
      </c>
      <c r="FD83" s="310">
        <f t="shared" si="159"/>
        <v>21228</v>
      </c>
      <c r="FE83" s="95">
        <f t="shared" si="159"/>
        <v>20894</v>
      </c>
      <c r="FF83" s="95">
        <f t="shared" si="159"/>
        <v>20325</v>
      </c>
      <c r="FG83" s="95">
        <f t="shared" si="159"/>
        <v>18301</v>
      </c>
      <c r="FH83" s="95">
        <f t="shared" si="159"/>
        <v>17902</v>
      </c>
      <c r="FI83" s="95">
        <f t="shared" si="159"/>
        <v>17254</v>
      </c>
      <c r="FJ83" s="95">
        <f t="shared" si="159"/>
        <v>16494</v>
      </c>
      <c r="FK83" s="95">
        <f t="shared" si="159"/>
        <v>16230</v>
      </c>
      <c r="FL83" s="95">
        <f aca="true" t="shared" si="160" ref="FL83:FR83">SUM(FL84:FL86)</f>
        <v>16751</v>
      </c>
      <c r="FM83" s="95">
        <f t="shared" si="160"/>
        <v>15679</v>
      </c>
      <c r="FN83" s="95">
        <f t="shared" si="160"/>
        <v>17013</v>
      </c>
      <c r="FO83" s="311">
        <f t="shared" si="160"/>
        <v>20163</v>
      </c>
      <c r="FP83" s="310">
        <f>SUM(FP84:FP86)</f>
        <v>18761</v>
      </c>
      <c r="FQ83" s="95">
        <f>SUM(FQ84:FQ86)</f>
        <v>18150</v>
      </c>
      <c r="FR83" s="95">
        <f t="shared" si="160"/>
        <v>18306</v>
      </c>
      <c r="FS83" s="95">
        <f aca="true" t="shared" si="161" ref="FS83:FY83">SUM(FS84:FS86)</f>
        <v>18086</v>
      </c>
      <c r="FT83" s="95">
        <f t="shared" si="161"/>
        <v>18251</v>
      </c>
      <c r="FU83" s="95">
        <f t="shared" si="161"/>
        <v>18885</v>
      </c>
      <c r="FV83" s="95">
        <f t="shared" si="161"/>
        <v>19491</v>
      </c>
      <c r="FW83" s="95">
        <f t="shared" si="161"/>
        <v>21067</v>
      </c>
      <c r="FX83" s="95">
        <f t="shared" si="161"/>
        <v>21422</v>
      </c>
      <c r="FY83" s="95">
        <f t="shared" si="161"/>
        <v>20354</v>
      </c>
      <c r="FZ83" s="95">
        <f>SUM(FZ84:FZ86)</f>
        <v>23038</v>
      </c>
      <c r="GA83" s="311">
        <f>SUM(GA84:GA86)</f>
        <v>21645</v>
      </c>
      <c r="GB83" s="434">
        <f>SUM(GB84:GB86)</f>
        <v>22901</v>
      </c>
      <c r="GC83" s="326">
        <f>SUM(GC84:GC86)</f>
        <v>21398</v>
      </c>
      <c r="GD83" s="417">
        <f>SUM(GD84:GD86)</f>
        <v>22002</v>
      </c>
      <c r="GE83" s="3"/>
      <c r="GF83" s="3"/>
      <c r="GG83" s="3"/>
      <c r="GH83" s="3"/>
      <c r="GI83" s="132"/>
    </row>
    <row r="84" spans="1:191" ht="15" customHeight="1">
      <c r="A84" s="6"/>
      <c r="B84" s="243" t="s">
        <v>87</v>
      </c>
      <c r="C84" s="84">
        <v>1052</v>
      </c>
      <c r="D84" s="84">
        <v>958</v>
      </c>
      <c r="E84" s="84">
        <v>1232</v>
      </c>
      <c r="F84" s="84">
        <v>1089</v>
      </c>
      <c r="G84" s="84">
        <v>1413</v>
      </c>
      <c r="H84" s="84">
        <v>1677</v>
      </c>
      <c r="I84" s="84">
        <v>2038</v>
      </c>
      <c r="J84" s="84">
        <v>3284</v>
      </c>
      <c r="K84" s="84">
        <v>3255</v>
      </c>
      <c r="L84" s="84">
        <v>3188</v>
      </c>
      <c r="M84" s="84">
        <v>3200</v>
      </c>
      <c r="N84" s="84">
        <v>3729</v>
      </c>
      <c r="O84" s="84">
        <v>4199</v>
      </c>
      <c r="P84" s="84">
        <v>4543</v>
      </c>
      <c r="Q84" s="84">
        <v>4942</v>
      </c>
      <c r="R84" s="84">
        <v>3042.101</v>
      </c>
      <c r="S84" s="84">
        <v>2313.339</v>
      </c>
      <c r="T84" s="84">
        <v>2022.898</v>
      </c>
      <c r="U84" s="84">
        <v>2719.813</v>
      </c>
      <c r="V84" s="84">
        <v>2461</v>
      </c>
      <c r="W84" s="84">
        <v>2249.849</v>
      </c>
      <c r="X84" s="84">
        <v>2506</v>
      </c>
      <c r="Y84" s="84">
        <v>2349</v>
      </c>
      <c r="Z84" s="84">
        <v>2672</v>
      </c>
      <c r="AA84" s="84">
        <v>2327</v>
      </c>
      <c r="AB84" s="84">
        <v>1898</v>
      </c>
      <c r="AC84" s="84">
        <v>2223</v>
      </c>
      <c r="AD84" s="84">
        <v>2455</v>
      </c>
      <c r="AE84" s="84">
        <v>2597</v>
      </c>
      <c r="AF84" s="84">
        <v>3064</v>
      </c>
      <c r="AG84" s="84">
        <v>3340</v>
      </c>
      <c r="AH84" s="84">
        <v>3677</v>
      </c>
      <c r="AI84" s="84">
        <v>3585</v>
      </c>
      <c r="AJ84" s="84">
        <v>3667</v>
      </c>
      <c r="AK84" s="84">
        <v>3583</v>
      </c>
      <c r="AL84" s="79">
        <v>3768</v>
      </c>
      <c r="AM84" s="84">
        <v>4173</v>
      </c>
      <c r="AN84" s="84">
        <v>3671</v>
      </c>
      <c r="AO84" s="84">
        <v>2760</v>
      </c>
      <c r="AP84" s="84">
        <v>4508</v>
      </c>
      <c r="AQ84" s="84">
        <v>4234</v>
      </c>
      <c r="AR84" s="83">
        <v>4374</v>
      </c>
      <c r="AS84" s="83">
        <v>5059</v>
      </c>
      <c r="AT84" s="83">
        <v>6085</v>
      </c>
      <c r="AU84" s="81">
        <v>5737</v>
      </c>
      <c r="AV84" s="79">
        <v>11457</v>
      </c>
      <c r="AW84" s="79">
        <v>11296</v>
      </c>
      <c r="AX84" s="79">
        <v>12452</v>
      </c>
      <c r="AY84" s="79">
        <v>13176</v>
      </c>
      <c r="AZ84" s="81">
        <v>13665</v>
      </c>
      <c r="BA84" s="79">
        <v>15830</v>
      </c>
      <c r="BB84" s="79">
        <v>16159</v>
      </c>
      <c r="BC84" s="81">
        <v>14344</v>
      </c>
      <c r="BD84" s="81">
        <v>15214</v>
      </c>
      <c r="BE84" s="79">
        <v>17898</v>
      </c>
      <c r="BF84" s="79">
        <v>19369</v>
      </c>
      <c r="BG84" s="79">
        <v>19469</v>
      </c>
      <c r="BH84" s="79">
        <v>17390</v>
      </c>
      <c r="BI84" s="79">
        <v>18480</v>
      </c>
      <c r="BJ84" s="79">
        <v>19057</v>
      </c>
      <c r="BK84" s="79">
        <v>21554</v>
      </c>
      <c r="BL84" s="79">
        <v>20507</v>
      </c>
      <c r="BM84" s="79">
        <v>20360</v>
      </c>
      <c r="BN84" s="79">
        <v>18944</v>
      </c>
      <c r="BO84" s="85">
        <v>19144</v>
      </c>
      <c r="BP84" s="85">
        <v>18865</v>
      </c>
      <c r="BQ84" s="85">
        <v>19067</v>
      </c>
      <c r="BR84" s="81">
        <v>19768</v>
      </c>
      <c r="BS84" s="79">
        <v>17210</v>
      </c>
      <c r="BT84" s="85">
        <v>17393</v>
      </c>
      <c r="BU84" s="85">
        <v>18597</v>
      </c>
      <c r="BV84" s="85">
        <v>19683</v>
      </c>
      <c r="BW84" s="78">
        <v>21101</v>
      </c>
      <c r="BX84" s="85">
        <v>18623</v>
      </c>
      <c r="BY84" s="85">
        <v>18474</v>
      </c>
      <c r="BZ84" s="85">
        <v>15190</v>
      </c>
      <c r="CA84" s="78">
        <v>14717</v>
      </c>
      <c r="CB84" s="81">
        <v>16325</v>
      </c>
      <c r="CC84" s="79">
        <v>18283</v>
      </c>
      <c r="CD84" s="79">
        <v>18386</v>
      </c>
      <c r="CE84" s="79">
        <v>19198</v>
      </c>
      <c r="CF84" s="79">
        <v>19606</v>
      </c>
      <c r="CG84" s="79">
        <v>19873</v>
      </c>
      <c r="CH84" s="79">
        <v>20989</v>
      </c>
      <c r="CI84" s="79">
        <v>26303</v>
      </c>
      <c r="CJ84" s="79">
        <v>23778</v>
      </c>
      <c r="CK84" s="79">
        <v>22206</v>
      </c>
      <c r="CL84" s="79">
        <v>20054</v>
      </c>
      <c r="CM84" s="79">
        <v>24492</v>
      </c>
      <c r="CN84" s="79">
        <v>23535</v>
      </c>
      <c r="CO84" s="79">
        <v>24114</v>
      </c>
      <c r="CP84" s="79">
        <v>25288</v>
      </c>
      <c r="CQ84" s="79">
        <v>25208</v>
      </c>
      <c r="CR84" s="79">
        <v>24896</v>
      </c>
      <c r="CS84" s="79">
        <v>25759</v>
      </c>
      <c r="CT84" s="79">
        <v>26749</v>
      </c>
      <c r="CU84" s="79">
        <v>26541</v>
      </c>
      <c r="CV84" s="79">
        <v>23533</v>
      </c>
      <c r="CW84" s="79">
        <v>23673</v>
      </c>
      <c r="CX84" s="79">
        <v>23342</v>
      </c>
      <c r="CY84" s="79">
        <v>26022</v>
      </c>
      <c r="CZ84" s="79">
        <v>25616</v>
      </c>
      <c r="DA84" s="79">
        <v>26333</v>
      </c>
      <c r="DB84" s="83">
        <v>25011</v>
      </c>
      <c r="DC84" s="83">
        <v>24488</v>
      </c>
      <c r="DD84" s="85">
        <v>23680</v>
      </c>
      <c r="DE84" s="83">
        <v>25072</v>
      </c>
      <c r="DF84" s="83">
        <v>25904</v>
      </c>
      <c r="DG84" s="83">
        <v>27606</v>
      </c>
      <c r="DH84" s="83">
        <v>25202</v>
      </c>
      <c r="DI84" s="78">
        <v>26972</v>
      </c>
      <c r="DJ84" s="79">
        <v>27283</v>
      </c>
      <c r="DK84" s="79">
        <v>28518</v>
      </c>
      <c r="DL84" s="79">
        <v>29397</v>
      </c>
      <c r="DM84" s="79">
        <v>30088</v>
      </c>
      <c r="DN84" s="79">
        <v>29263</v>
      </c>
      <c r="DO84" s="79">
        <v>30352</v>
      </c>
      <c r="DP84" s="79">
        <v>30695</v>
      </c>
      <c r="DQ84" s="79">
        <v>29602</v>
      </c>
      <c r="DR84" s="79">
        <v>30410</v>
      </c>
      <c r="DS84" s="79">
        <v>32629</v>
      </c>
      <c r="DT84" s="79">
        <v>30372</v>
      </c>
      <c r="DU84" s="79">
        <v>30762</v>
      </c>
      <c r="DV84" s="79">
        <v>30661</v>
      </c>
      <c r="DW84" s="79">
        <v>28736</v>
      </c>
      <c r="DX84" s="79">
        <v>27355</v>
      </c>
      <c r="DY84" s="79">
        <v>24499</v>
      </c>
      <c r="DZ84" s="79">
        <v>27454</v>
      </c>
      <c r="EA84" s="79">
        <v>26044</v>
      </c>
      <c r="EB84" s="79">
        <v>28137</v>
      </c>
      <c r="EC84" s="79">
        <v>27521</v>
      </c>
      <c r="ED84" s="79">
        <v>27078</v>
      </c>
      <c r="EE84" s="79">
        <v>26347</v>
      </c>
      <c r="EF84" s="79">
        <v>21100</v>
      </c>
      <c r="EG84" s="79">
        <v>20072</v>
      </c>
      <c r="EH84" s="79">
        <v>20637</v>
      </c>
      <c r="EI84" s="79">
        <v>19935</v>
      </c>
      <c r="EJ84" s="79">
        <v>19974</v>
      </c>
      <c r="EK84" s="79">
        <v>17908</v>
      </c>
      <c r="EL84" s="271">
        <v>17107</v>
      </c>
      <c r="EM84" s="271">
        <v>18202</v>
      </c>
      <c r="EN84" s="79">
        <v>18623</v>
      </c>
      <c r="EO84" s="79">
        <v>18915</v>
      </c>
      <c r="EP84" s="79">
        <v>19206</v>
      </c>
      <c r="EQ84" s="79">
        <v>19303</v>
      </c>
      <c r="ER84" s="79">
        <v>17564</v>
      </c>
      <c r="ES84" s="85">
        <v>18046</v>
      </c>
      <c r="ET84" s="85">
        <v>18330</v>
      </c>
      <c r="EU84" s="79">
        <v>17753</v>
      </c>
      <c r="EV84" s="79">
        <v>17239</v>
      </c>
      <c r="EW84" s="79">
        <v>17077</v>
      </c>
      <c r="EX84" s="85">
        <v>17580</v>
      </c>
      <c r="EY84" s="79">
        <v>15708</v>
      </c>
      <c r="EZ84" s="79">
        <v>16241</v>
      </c>
      <c r="FA84" s="79">
        <v>16478</v>
      </c>
      <c r="FB84" s="79">
        <v>16115</v>
      </c>
      <c r="FC84" s="79">
        <v>17359</v>
      </c>
      <c r="FD84" s="310">
        <v>16928</v>
      </c>
      <c r="FE84" s="95">
        <v>16790</v>
      </c>
      <c r="FF84" s="95">
        <v>16382</v>
      </c>
      <c r="FG84" s="95">
        <v>14117</v>
      </c>
      <c r="FH84" s="95">
        <v>13833</v>
      </c>
      <c r="FI84" s="95">
        <v>13856</v>
      </c>
      <c r="FJ84" s="95">
        <v>12361</v>
      </c>
      <c r="FK84" s="95">
        <v>12586</v>
      </c>
      <c r="FL84" s="95">
        <v>12704</v>
      </c>
      <c r="FM84" s="95">
        <v>11810</v>
      </c>
      <c r="FN84" s="95">
        <v>12834</v>
      </c>
      <c r="FO84" s="311">
        <v>16269</v>
      </c>
      <c r="FP84" s="310">
        <v>14616</v>
      </c>
      <c r="FQ84" s="95">
        <v>14175</v>
      </c>
      <c r="FR84" s="95">
        <v>14347</v>
      </c>
      <c r="FS84" s="95">
        <v>13940</v>
      </c>
      <c r="FT84" s="95">
        <v>13926</v>
      </c>
      <c r="FU84" s="95">
        <v>14376</v>
      </c>
      <c r="FV84" s="95">
        <v>15331</v>
      </c>
      <c r="FW84" s="95">
        <v>16927</v>
      </c>
      <c r="FX84" s="95">
        <v>17417</v>
      </c>
      <c r="FY84" s="95">
        <v>16154</v>
      </c>
      <c r="FZ84" s="95">
        <v>18355</v>
      </c>
      <c r="GA84" s="311">
        <v>17878</v>
      </c>
      <c r="GB84" s="95">
        <v>18309</v>
      </c>
      <c r="GC84" s="95">
        <v>17218</v>
      </c>
      <c r="GD84" s="311">
        <v>17822</v>
      </c>
      <c r="GE84" s="110">
        <v>18846</v>
      </c>
      <c r="GF84" s="110">
        <v>19030</v>
      </c>
      <c r="GG84" s="110">
        <v>18666</v>
      </c>
      <c r="GH84" s="110">
        <v>20222</v>
      </c>
      <c r="GI84" s="320">
        <v>22163</v>
      </c>
    </row>
    <row r="85" spans="1:191" ht="15" customHeight="1">
      <c r="A85" s="6"/>
      <c r="B85" s="243" t="s">
        <v>124</v>
      </c>
      <c r="C85" s="80"/>
      <c r="D85" s="80"/>
      <c r="E85" s="80"/>
      <c r="F85" s="67"/>
      <c r="G85" s="67"/>
      <c r="H85" s="67"/>
      <c r="I85" s="67"/>
      <c r="J85" s="67"/>
      <c r="K85" s="67"/>
      <c r="L85" s="67"/>
      <c r="M85" s="67"/>
      <c r="N85" s="80"/>
      <c r="O85" s="80"/>
      <c r="P85" s="80"/>
      <c r="Q85" s="80"/>
      <c r="R85" s="80">
        <v>1394</v>
      </c>
      <c r="S85" s="80">
        <v>1535</v>
      </c>
      <c r="T85" s="80">
        <v>1753</v>
      </c>
      <c r="U85" s="80">
        <v>1759</v>
      </c>
      <c r="V85" s="80">
        <v>1270</v>
      </c>
      <c r="W85" s="80">
        <v>1226</v>
      </c>
      <c r="X85" s="80">
        <v>1157</v>
      </c>
      <c r="Y85" s="81">
        <v>1109</v>
      </c>
      <c r="Z85" s="81">
        <v>1206</v>
      </c>
      <c r="AA85" s="81">
        <v>1212</v>
      </c>
      <c r="AB85" s="81">
        <v>1322</v>
      </c>
      <c r="AC85" s="81">
        <v>1181</v>
      </c>
      <c r="AD85" s="81">
        <v>1123</v>
      </c>
      <c r="AE85" s="81">
        <v>1158</v>
      </c>
      <c r="AF85" s="81">
        <v>1273</v>
      </c>
      <c r="AG85" s="81">
        <v>1361</v>
      </c>
      <c r="AH85" s="81">
        <v>1380</v>
      </c>
      <c r="AI85" s="25">
        <v>1447</v>
      </c>
      <c r="AJ85" s="25">
        <v>1439</v>
      </c>
      <c r="AK85" s="25">
        <v>1445</v>
      </c>
      <c r="AL85" s="82">
        <v>1872</v>
      </c>
      <c r="AM85" s="25">
        <v>1432</v>
      </c>
      <c r="AN85" s="25">
        <v>1548</v>
      </c>
      <c r="AO85" s="25">
        <v>1640</v>
      </c>
      <c r="AP85" s="25">
        <v>210</v>
      </c>
      <c r="AQ85" s="79">
        <v>1268</v>
      </c>
      <c r="AR85" s="81">
        <v>1811</v>
      </c>
      <c r="AS85" s="81">
        <v>1834</v>
      </c>
      <c r="AT85" s="25"/>
      <c r="AU85" s="25"/>
      <c r="AV85" s="62"/>
      <c r="AW85" s="62"/>
      <c r="AX85" s="62"/>
      <c r="AY85" s="79"/>
      <c r="AZ85" s="81"/>
      <c r="BA85" s="79"/>
      <c r="BB85" s="79"/>
      <c r="BC85" s="81"/>
      <c r="BD85" s="81"/>
      <c r="BE85" s="79"/>
      <c r="BF85" s="81"/>
      <c r="BG85" s="81"/>
      <c r="BH85" s="81"/>
      <c r="BI85" s="81"/>
      <c r="BJ85" s="81"/>
      <c r="BK85" s="81"/>
      <c r="BL85" s="173"/>
      <c r="BM85" s="173"/>
      <c r="BN85" s="81"/>
      <c r="BO85" s="79"/>
      <c r="BP85" s="81"/>
      <c r="BQ85" s="81"/>
      <c r="BR85" s="81"/>
      <c r="BS85" s="81"/>
      <c r="BT85" s="81"/>
      <c r="BU85" s="81"/>
      <c r="BV85" s="81"/>
      <c r="BW85" s="81"/>
      <c r="BX85" s="79"/>
      <c r="BY85" s="81"/>
      <c r="BZ85" s="81"/>
      <c r="CA85" s="161"/>
      <c r="CB85" s="81"/>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83"/>
      <c r="DC85" s="83"/>
      <c r="DD85" s="83"/>
      <c r="DE85" s="83"/>
      <c r="DF85" s="83"/>
      <c r="DG85" s="83"/>
      <c r="DH85" s="83"/>
      <c r="DI85" s="78"/>
      <c r="DJ85" s="62"/>
      <c r="DK85" s="62"/>
      <c r="DL85" s="62"/>
      <c r="DM85" s="62"/>
      <c r="DN85" s="79"/>
      <c r="DO85" s="79"/>
      <c r="DP85" s="79"/>
      <c r="DQ85" s="79"/>
      <c r="DR85" s="79"/>
      <c r="DS85" s="83"/>
      <c r="DT85" s="83"/>
      <c r="DU85" s="83"/>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310"/>
      <c r="FE85" s="95"/>
      <c r="FF85" s="95"/>
      <c r="FG85" s="95"/>
      <c r="FH85" s="95"/>
      <c r="FI85" s="95"/>
      <c r="FJ85" s="95"/>
      <c r="FK85" s="95"/>
      <c r="FL85" s="95"/>
      <c r="FM85" s="95"/>
      <c r="FN85" s="95"/>
      <c r="FO85" s="311"/>
      <c r="FP85" s="310"/>
      <c r="FQ85" s="95"/>
      <c r="FR85" s="95"/>
      <c r="FS85" s="95"/>
      <c r="FT85" s="95"/>
      <c r="FU85" s="95"/>
      <c r="FV85" s="95"/>
      <c r="FW85" s="95"/>
      <c r="FX85" s="95"/>
      <c r="FY85" s="387"/>
      <c r="FZ85" s="95"/>
      <c r="GA85" s="311"/>
      <c r="GB85" s="93"/>
      <c r="GC85" s="49"/>
      <c r="GD85" s="379"/>
      <c r="GE85" s="3"/>
      <c r="GF85" s="3"/>
      <c r="GG85" s="3"/>
      <c r="GH85" s="3"/>
      <c r="GI85" s="132"/>
    </row>
    <row r="86" spans="1:192" ht="15" customHeight="1">
      <c r="A86" s="6"/>
      <c r="B86" s="246" t="s">
        <v>125</v>
      </c>
      <c r="C86" s="80">
        <v>1026</v>
      </c>
      <c r="D86" s="80">
        <v>939</v>
      </c>
      <c r="E86" s="80">
        <v>677</v>
      </c>
      <c r="F86" s="80">
        <v>676</v>
      </c>
      <c r="G86" s="80">
        <v>568</v>
      </c>
      <c r="H86" s="80">
        <v>638</v>
      </c>
      <c r="I86" s="80">
        <v>492</v>
      </c>
      <c r="J86" s="80">
        <v>602</v>
      </c>
      <c r="K86" s="80">
        <v>752</v>
      </c>
      <c r="L86" s="80">
        <v>837</v>
      </c>
      <c r="M86" s="80">
        <v>926</v>
      </c>
      <c r="N86" s="80">
        <v>966</v>
      </c>
      <c r="O86" s="80">
        <v>857</v>
      </c>
      <c r="P86" s="80">
        <v>784</v>
      </c>
      <c r="Q86" s="80">
        <v>844</v>
      </c>
      <c r="R86" s="80">
        <v>902</v>
      </c>
      <c r="S86" s="80">
        <v>1059</v>
      </c>
      <c r="T86" s="80">
        <v>1117</v>
      </c>
      <c r="U86" s="80">
        <v>1016</v>
      </c>
      <c r="V86" s="80">
        <v>1089</v>
      </c>
      <c r="W86" s="80">
        <v>1119</v>
      </c>
      <c r="X86" s="80">
        <v>1153</v>
      </c>
      <c r="Y86" s="80">
        <v>1098</v>
      </c>
      <c r="Z86" s="80">
        <v>1281</v>
      </c>
      <c r="AA86" s="80">
        <v>1143</v>
      </c>
      <c r="AB86" s="80">
        <v>1222</v>
      </c>
      <c r="AC86" s="80">
        <v>1218</v>
      </c>
      <c r="AD86" s="80">
        <v>1249</v>
      </c>
      <c r="AE86" s="80">
        <v>1439</v>
      </c>
      <c r="AF86" s="80">
        <v>1382</v>
      </c>
      <c r="AG86" s="80">
        <v>1237</v>
      </c>
      <c r="AH86" s="80">
        <v>1246</v>
      </c>
      <c r="AI86" s="80">
        <v>1157</v>
      </c>
      <c r="AJ86" s="80">
        <v>1347</v>
      </c>
      <c r="AK86" s="80">
        <v>1392</v>
      </c>
      <c r="AL86" s="84">
        <v>1194</v>
      </c>
      <c r="AM86" s="80">
        <v>948</v>
      </c>
      <c r="AN86" s="80">
        <v>1254</v>
      </c>
      <c r="AO86" s="80">
        <v>1279</v>
      </c>
      <c r="AP86" s="84">
        <v>1373</v>
      </c>
      <c r="AQ86" s="84">
        <v>1389</v>
      </c>
      <c r="AR86" s="84">
        <v>1422</v>
      </c>
      <c r="AS86" s="84">
        <v>1551</v>
      </c>
      <c r="AT86" s="84">
        <v>1743</v>
      </c>
      <c r="AU86" s="84">
        <v>1712</v>
      </c>
      <c r="AV86" s="84">
        <v>1952</v>
      </c>
      <c r="AW86" s="84">
        <v>2038</v>
      </c>
      <c r="AX86" s="84">
        <v>2017</v>
      </c>
      <c r="AY86" s="83">
        <v>1400</v>
      </c>
      <c r="AZ86" s="83">
        <v>1855</v>
      </c>
      <c r="BA86" s="83">
        <v>1967</v>
      </c>
      <c r="BB86" s="83">
        <v>2139</v>
      </c>
      <c r="BC86" s="83">
        <v>2080</v>
      </c>
      <c r="BD86" s="83">
        <v>2317</v>
      </c>
      <c r="BE86" s="83">
        <v>2128</v>
      </c>
      <c r="BF86" s="83">
        <v>1697</v>
      </c>
      <c r="BG86" s="83">
        <v>1647</v>
      </c>
      <c r="BH86" s="83">
        <v>1272</v>
      </c>
      <c r="BI86" s="83">
        <v>2051</v>
      </c>
      <c r="BJ86" s="83">
        <v>2649</v>
      </c>
      <c r="BK86" s="83">
        <v>2812</v>
      </c>
      <c r="BL86" s="83">
        <v>2440</v>
      </c>
      <c r="BM86" s="83">
        <v>2681</v>
      </c>
      <c r="BN86" s="83">
        <v>3193</v>
      </c>
      <c r="BO86" s="83">
        <v>3108</v>
      </c>
      <c r="BP86" s="83">
        <v>3221</v>
      </c>
      <c r="BQ86" s="83">
        <v>3320</v>
      </c>
      <c r="BR86" s="81">
        <v>3101</v>
      </c>
      <c r="BS86" s="79">
        <v>3289</v>
      </c>
      <c r="BT86" s="79">
        <v>3014</v>
      </c>
      <c r="BU86" s="81">
        <v>3064</v>
      </c>
      <c r="BV86" s="81">
        <v>2657</v>
      </c>
      <c r="BW86" s="79">
        <v>2393</v>
      </c>
      <c r="BX86" s="79">
        <v>2659</v>
      </c>
      <c r="BY86" s="79">
        <v>2678</v>
      </c>
      <c r="BZ86" s="79">
        <v>2819</v>
      </c>
      <c r="CA86" s="79">
        <v>2819</v>
      </c>
      <c r="CB86" s="79">
        <v>3316</v>
      </c>
      <c r="CC86" s="79">
        <v>2987</v>
      </c>
      <c r="CD86" s="79">
        <v>3036</v>
      </c>
      <c r="CE86" s="79">
        <v>3360</v>
      </c>
      <c r="CF86" s="79">
        <v>3542</v>
      </c>
      <c r="CG86" s="79">
        <v>3584</v>
      </c>
      <c r="CH86" s="79">
        <v>3457</v>
      </c>
      <c r="CI86" s="79">
        <v>3165</v>
      </c>
      <c r="CJ86" s="79">
        <v>3529</v>
      </c>
      <c r="CK86" s="79">
        <v>3362</v>
      </c>
      <c r="CL86" s="79">
        <v>3568</v>
      </c>
      <c r="CM86" s="79">
        <v>3535</v>
      </c>
      <c r="CN86" s="79">
        <v>3840</v>
      </c>
      <c r="CO86" s="79">
        <v>3850</v>
      </c>
      <c r="CP86" s="79">
        <v>3984</v>
      </c>
      <c r="CQ86" s="79">
        <v>3834</v>
      </c>
      <c r="CR86" s="79">
        <v>4495</v>
      </c>
      <c r="CS86" s="79">
        <v>4429</v>
      </c>
      <c r="CT86" s="79">
        <v>4613</v>
      </c>
      <c r="CU86" s="79">
        <v>3870</v>
      </c>
      <c r="CV86" s="79">
        <v>4646</v>
      </c>
      <c r="CW86" s="79">
        <v>4098</v>
      </c>
      <c r="CX86" s="79">
        <v>4056</v>
      </c>
      <c r="CY86" s="79">
        <v>3943</v>
      </c>
      <c r="CZ86" s="79">
        <v>4380</v>
      </c>
      <c r="DA86" s="79">
        <v>3838</v>
      </c>
      <c r="DB86" s="79">
        <v>4456</v>
      </c>
      <c r="DC86" s="79">
        <v>5143</v>
      </c>
      <c r="DD86" s="85">
        <v>6217</v>
      </c>
      <c r="DE86" s="85">
        <v>5922</v>
      </c>
      <c r="DF86" s="85">
        <v>5708</v>
      </c>
      <c r="DG86" s="83">
        <v>5191</v>
      </c>
      <c r="DH86" s="83">
        <v>6025</v>
      </c>
      <c r="DI86" s="83">
        <v>6272</v>
      </c>
      <c r="DJ86" s="83">
        <v>5864</v>
      </c>
      <c r="DK86" s="79">
        <v>5849</v>
      </c>
      <c r="DL86" s="79">
        <v>5429</v>
      </c>
      <c r="DM86" s="79">
        <v>5280</v>
      </c>
      <c r="DN86" s="79">
        <v>5629</v>
      </c>
      <c r="DO86" s="79">
        <v>5649</v>
      </c>
      <c r="DP86" s="79">
        <v>5609</v>
      </c>
      <c r="DQ86" s="79">
        <v>6072</v>
      </c>
      <c r="DR86" s="79">
        <v>5993</v>
      </c>
      <c r="DS86" s="83">
        <v>5635</v>
      </c>
      <c r="DT86" s="83">
        <v>5582</v>
      </c>
      <c r="DU86" s="83">
        <v>5814</v>
      </c>
      <c r="DV86" s="83">
        <v>5828</v>
      </c>
      <c r="DW86" s="83">
        <v>4616</v>
      </c>
      <c r="DX86" s="83">
        <v>4537</v>
      </c>
      <c r="DY86" s="83">
        <v>3732</v>
      </c>
      <c r="DZ86" s="83">
        <v>3137</v>
      </c>
      <c r="EA86" s="83">
        <v>4521</v>
      </c>
      <c r="EB86" s="79">
        <v>4374</v>
      </c>
      <c r="EC86" s="79">
        <v>4159</v>
      </c>
      <c r="ED86" s="79">
        <v>4574</v>
      </c>
      <c r="EE86" s="79">
        <v>3812</v>
      </c>
      <c r="EF86" s="79">
        <v>4434</v>
      </c>
      <c r="EG86" s="79">
        <v>4439</v>
      </c>
      <c r="EH86" s="79">
        <v>4244</v>
      </c>
      <c r="EI86" s="79">
        <v>4342</v>
      </c>
      <c r="EJ86" s="79">
        <v>4443</v>
      </c>
      <c r="EK86" s="79">
        <v>5265</v>
      </c>
      <c r="EL86" s="79">
        <v>4442</v>
      </c>
      <c r="EM86" s="79">
        <v>4245</v>
      </c>
      <c r="EN86" s="79">
        <v>4228</v>
      </c>
      <c r="EO86" s="79">
        <v>3915</v>
      </c>
      <c r="EP86" s="79">
        <v>3917</v>
      </c>
      <c r="EQ86" s="79">
        <v>3730</v>
      </c>
      <c r="ER86" s="79">
        <v>3471</v>
      </c>
      <c r="ES86" s="79">
        <v>3533</v>
      </c>
      <c r="ET86" s="79">
        <v>3119</v>
      </c>
      <c r="EU86" s="79">
        <v>2935</v>
      </c>
      <c r="EV86" s="79">
        <v>3305</v>
      </c>
      <c r="EW86" s="79">
        <v>3149</v>
      </c>
      <c r="EX86" s="79">
        <v>3331</v>
      </c>
      <c r="EY86" s="79">
        <v>3516</v>
      </c>
      <c r="EZ86" s="79">
        <v>3306</v>
      </c>
      <c r="FA86" s="79">
        <v>4010</v>
      </c>
      <c r="FB86" s="79">
        <v>4023</v>
      </c>
      <c r="FC86" s="79">
        <v>3157</v>
      </c>
      <c r="FD86" s="310">
        <v>4300</v>
      </c>
      <c r="FE86" s="95">
        <v>4104</v>
      </c>
      <c r="FF86" s="95">
        <v>3943</v>
      </c>
      <c r="FG86" s="95">
        <v>4184</v>
      </c>
      <c r="FH86" s="95">
        <v>4069</v>
      </c>
      <c r="FI86" s="95">
        <v>3398</v>
      </c>
      <c r="FJ86" s="95">
        <v>4133</v>
      </c>
      <c r="FK86" s="95">
        <v>3644</v>
      </c>
      <c r="FL86" s="95">
        <v>4047</v>
      </c>
      <c r="FM86" s="95">
        <v>3869</v>
      </c>
      <c r="FN86" s="95">
        <v>4179</v>
      </c>
      <c r="FO86" s="95">
        <v>3894</v>
      </c>
      <c r="FP86" s="310">
        <v>4145</v>
      </c>
      <c r="FQ86" s="95">
        <v>3975</v>
      </c>
      <c r="FR86" s="95">
        <v>3959</v>
      </c>
      <c r="FS86" s="95">
        <v>4146</v>
      </c>
      <c r="FT86" s="95">
        <v>4325</v>
      </c>
      <c r="FU86" s="95">
        <v>4509</v>
      </c>
      <c r="FV86" s="95">
        <v>4160</v>
      </c>
      <c r="FW86" s="95">
        <v>4140</v>
      </c>
      <c r="FX86" s="95">
        <v>4005</v>
      </c>
      <c r="FY86" s="95">
        <v>4200</v>
      </c>
      <c r="FZ86" s="95">
        <v>4683</v>
      </c>
      <c r="GA86" s="311">
        <v>3767</v>
      </c>
      <c r="GB86" s="326">
        <v>4592</v>
      </c>
      <c r="GC86" s="326">
        <v>4180</v>
      </c>
      <c r="GD86" s="417">
        <v>4180</v>
      </c>
      <c r="GE86" s="3"/>
      <c r="GF86" s="3"/>
      <c r="GG86" s="3"/>
      <c r="GH86" s="3"/>
      <c r="GI86" s="132"/>
      <c r="GJ86" s="29"/>
    </row>
    <row r="87" spans="1:192" ht="15" customHeight="1">
      <c r="A87" s="6" t="s">
        <v>24</v>
      </c>
      <c r="B87" s="186" t="s">
        <v>126</v>
      </c>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4"/>
      <c r="AQ87" s="84"/>
      <c r="AR87" s="80"/>
      <c r="AS87" s="80"/>
      <c r="AT87" s="80"/>
      <c r="AU87" s="80"/>
      <c r="AV87" s="84"/>
      <c r="AW87" s="84"/>
      <c r="AX87" s="84"/>
      <c r="AY87" s="81"/>
      <c r="AZ87" s="81"/>
      <c r="BA87" s="81"/>
      <c r="BB87" s="79"/>
      <c r="BC87" s="81"/>
      <c r="BD87" s="79"/>
      <c r="BE87" s="79"/>
      <c r="BF87" s="79"/>
      <c r="BG87" s="79"/>
      <c r="BH87" s="81"/>
      <c r="BI87" s="81"/>
      <c r="BJ87" s="81"/>
      <c r="BK87" s="81"/>
      <c r="BL87" s="81"/>
      <c r="BM87" s="81"/>
      <c r="BN87" s="81"/>
      <c r="BO87" s="81"/>
      <c r="BP87" s="81"/>
      <c r="BQ87" s="81"/>
      <c r="BR87" s="81"/>
      <c r="BS87" s="81"/>
      <c r="BT87" s="81"/>
      <c r="BU87" s="81"/>
      <c r="BV87" s="81"/>
      <c r="BW87" s="81"/>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83"/>
      <c r="DC87" s="83"/>
      <c r="DD87" s="62"/>
      <c r="DE87" s="83"/>
      <c r="DF87" s="83"/>
      <c r="DG87" s="83"/>
      <c r="DH87" s="83"/>
      <c r="DI87" s="83"/>
      <c r="DJ87" s="83"/>
      <c r="DK87" s="83"/>
      <c r="DL87" s="83"/>
      <c r="DM87" s="83"/>
      <c r="DN87" s="81"/>
      <c r="DO87" s="79"/>
      <c r="DP87" s="79"/>
      <c r="DQ87" s="79"/>
      <c r="DR87" s="79"/>
      <c r="DS87" s="83"/>
      <c r="DT87" s="83"/>
      <c r="DU87" s="83"/>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316"/>
      <c r="FE87" s="317"/>
      <c r="FF87" s="317"/>
      <c r="FG87" s="317"/>
      <c r="FH87" s="317"/>
      <c r="FI87" s="317"/>
      <c r="FJ87" s="317"/>
      <c r="FK87" s="317"/>
      <c r="FL87" s="317"/>
      <c r="FM87" s="317"/>
      <c r="FN87" s="317"/>
      <c r="FO87" s="364"/>
      <c r="FP87" s="310"/>
      <c r="FQ87" s="95"/>
      <c r="FR87" s="95"/>
      <c r="FS87" s="95"/>
      <c r="FT87" s="95"/>
      <c r="FU87" s="95"/>
      <c r="FV87" s="95"/>
      <c r="FW87" s="95"/>
      <c r="FX87" s="95"/>
      <c r="FY87" s="387"/>
      <c r="FZ87" s="387"/>
      <c r="GA87" s="379"/>
      <c r="GB87" s="93"/>
      <c r="GC87" s="49"/>
      <c r="GD87" s="379"/>
      <c r="GE87" s="3"/>
      <c r="GF87" s="123"/>
      <c r="GG87" s="123"/>
      <c r="GH87" s="3"/>
      <c r="GI87" s="132"/>
      <c r="GJ87" s="29"/>
    </row>
    <row r="88" spans="1:192" ht="15" customHeight="1">
      <c r="A88" s="6"/>
      <c r="B88" s="186"/>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4"/>
      <c r="AQ88" s="84"/>
      <c r="AR88" s="80"/>
      <c r="AS88" s="80"/>
      <c r="AT88" s="80"/>
      <c r="AU88" s="80"/>
      <c r="AV88" s="84"/>
      <c r="AW88" s="84"/>
      <c r="AX88" s="84"/>
      <c r="AY88" s="81"/>
      <c r="AZ88" s="81"/>
      <c r="BA88" s="81"/>
      <c r="BB88" s="79"/>
      <c r="BC88" s="81"/>
      <c r="BD88" s="79"/>
      <c r="BE88" s="79"/>
      <c r="BF88" s="79"/>
      <c r="BG88" s="79"/>
      <c r="BH88" s="81"/>
      <c r="BI88" s="81"/>
      <c r="BJ88" s="81"/>
      <c r="BK88" s="81"/>
      <c r="BL88" s="81"/>
      <c r="BM88" s="81"/>
      <c r="BN88" s="81"/>
      <c r="BO88" s="81"/>
      <c r="BP88" s="81"/>
      <c r="BQ88" s="81"/>
      <c r="BR88" s="81"/>
      <c r="BS88" s="174"/>
      <c r="BT88" s="81"/>
      <c r="BU88" s="81"/>
      <c r="BV88" s="81"/>
      <c r="BW88" s="81"/>
      <c r="BX88" s="81"/>
      <c r="BY88" s="81"/>
      <c r="BZ88" s="81"/>
      <c r="CA88" s="81"/>
      <c r="CB88" s="81"/>
      <c r="CC88" s="81"/>
      <c r="CD88" s="79"/>
      <c r="CE88" s="79"/>
      <c r="CF88" s="79"/>
      <c r="CG88" s="79"/>
      <c r="CH88" s="79"/>
      <c r="CI88" s="175"/>
      <c r="CJ88" s="79"/>
      <c r="CK88" s="79"/>
      <c r="CL88" s="79"/>
      <c r="CM88" s="79"/>
      <c r="CN88" s="79"/>
      <c r="CO88" s="79"/>
      <c r="CP88" s="79"/>
      <c r="CQ88" s="79"/>
      <c r="CR88" s="270"/>
      <c r="CS88" s="79"/>
      <c r="CT88" s="162"/>
      <c r="CU88" s="79"/>
      <c r="CV88" s="79"/>
      <c r="CW88" s="79"/>
      <c r="CX88" s="79"/>
      <c r="CY88" s="79"/>
      <c r="CZ88" s="79"/>
      <c r="DA88" s="79"/>
      <c r="DB88" s="83"/>
      <c r="DC88" s="83"/>
      <c r="DD88" s="83"/>
      <c r="DE88" s="83"/>
      <c r="DF88" s="83"/>
      <c r="DG88" s="83"/>
      <c r="DH88" s="83"/>
      <c r="DI88" s="83"/>
      <c r="DJ88" s="83"/>
      <c r="DK88" s="83"/>
      <c r="DL88" s="83"/>
      <c r="DM88" s="83"/>
      <c r="DN88" s="81"/>
      <c r="DO88" s="79"/>
      <c r="DP88" s="79"/>
      <c r="DQ88" s="79"/>
      <c r="DR88" s="79">
        <f>DS91-43342</f>
        <v>9342</v>
      </c>
      <c r="DS88" s="83"/>
      <c r="DT88" s="83"/>
      <c r="DU88" s="83"/>
      <c r="DV88" s="79"/>
      <c r="DW88" s="79"/>
      <c r="DX88" s="79"/>
      <c r="DY88" s="79"/>
      <c r="DZ88" s="79"/>
      <c r="EA88" s="79"/>
      <c r="EB88" s="79"/>
      <c r="EC88" s="83"/>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373"/>
      <c r="FE88" s="374"/>
      <c r="FF88" s="374"/>
      <c r="FG88" s="374"/>
      <c r="FH88" s="374"/>
      <c r="FI88" s="374"/>
      <c r="FJ88" s="374"/>
      <c r="FK88" s="374"/>
      <c r="FL88" s="374"/>
      <c r="FM88" s="374"/>
      <c r="FN88" s="374"/>
      <c r="FO88" s="375"/>
      <c r="FP88" s="310"/>
      <c r="FQ88" s="95"/>
      <c r="FR88" s="95"/>
      <c r="FS88" s="95"/>
      <c r="FT88" s="95"/>
      <c r="FU88" s="95"/>
      <c r="FV88" s="95"/>
      <c r="FW88" s="95"/>
      <c r="FX88" s="95"/>
      <c r="FY88" s="387"/>
      <c r="FZ88" s="387"/>
      <c r="GA88" s="379"/>
      <c r="GB88" s="93"/>
      <c r="GC88" s="317"/>
      <c r="GD88" s="379"/>
      <c r="GE88" s="3"/>
      <c r="GF88" s="3"/>
      <c r="GG88" s="3"/>
      <c r="GH88" s="123"/>
      <c r="GI88" s="468"/>
      <c r="GJ88" s="29"/>
    </row>
    <row r="89" spans="1:191" s="56" customFormat="1" ht="15" customHeight="1">
      <c r="A89" s="14"/>
      <c r="B89" s="93" t="s">
        <v>101</v>
      </c>
      <c r="C89" s="86">
        <v>5774</v>
      </c>
      <c r="D89" s="84">
        <v>6294</v>
      </c>
      <c r="E89" s="84">
        <v>6527</v>
      </c>
      <c r="F89" s="84">
        <v>6750</v>
      </c>
      <c r="G89" s="84">
        <v>7146</v>
      </c>
      <c r="H89" s="84">
        <v>7382</v>
      </c>
      <c r="I89" s="84">
        <v>8006</v>
      </c>
      <c r="J89" s="84">
        <v>8184</v>
      </c>
      <c r="K89" s="84">
        <v>8502</v>
      </c>
      <c r="L89" s="84">
        <v>8568</v>
      </c>
      <c r="M89" s="84">
        <v>8357</v>
      </c>
      <c r="N89" s="84">
        <v>8616</v>
      </c>
      <c r="O89" s="84">
        <v>10149</v>
      </c>
      <c r="P89" s="84">
        <v>10135</v>
      </c>
      <c r="Q89" s="84">
        <v>10463</v>
      </c>
      <c r="R89" s="84">
        <v>11085</v>
      </c>
      <c r="S89" s="84">
        <v>10810</v>
      </c>
      <c r="T89" s="84">
        <v>11132</v>
      </c>
      <c r="U89" s="84">
        <v>10737</v>
      </c>
      <c r="V89" s="84">
        <v>10695</v>
      </c>
      <c r="W89" s="84">
        <v>10759</v>
      </c>
      <c r="X89" s="84">
        <v>10601</v>
      </c>
      <c r="Y89" s="84">
        <v>10841</v>
      </c>
      <c r="Z89" s="84">
        <v>10701</v>
      </c>
      <c r="AA89" s="84">
        <v>11399</v>
      </c>
      <c r="AB89" s="84">
        <v>11744</v>
      </c>
      <c r="AC89" s="84">
        <v>12080</v>
      </c>
      <c r="AD89" s="84">
        <v>12084</v>
      </c>
      <c r="AE89" s="84">
        <v>12001</v>
      </c>
      <c r="AF89" s="84">
        <v>11912</v>
      </c>
      <c r="AG89" s="84">
        <v>12008</v>
      </c>
      <c r="AH89" s="84">
        <v>13306</v>
      </c>
      <c r="AI89" s="84">
        <v>13985</v>
      </c>
      <c r="AJ89" s="84">
        <v>13225</v>
      </c>
      <c r="AK89" s="84">
        <v>13439</v>
      </c>
      <c r="AL89" s="84">
        <v>13729</v>
      </c>
      <c r="AM89" s="84">
        <v>15460</v>
      </c>
      <c r="AN89" s="84">
        <v>15838</v>
      </c>
      <c r="AO89" s="84">
        <v>15913</v>
      </c>
      <c r="AP89" s="84">
        <v>15966</v>
      </c>
      <c r="AQ89" s="84">
        <v>16401</v>
      </c>
      <c r="AR89" s="84">
        <v>15495</v>
      </c>
      <c r="AS89" s="84">
        <v>16091</v>
      </c>
      <c r="AT89" s="84">
        <v>16691</v>
      </c>
      <c r="AU89" s="84">
        <v>17359</v>
      </c>
      <c r="AV89" s="84">
        <v>19562</v>
      </c>
      <c r="AW89" s="84">
        <v>20220</v>
      </c>
      <c r="AX89" s="84">
        <v>20415</v>
      </c>
      <c r="AY89" s="79">
        <v>21721</v>
      </c>
      <c r="AZ89" s="79">
        <v>22233</v>
      </c>
      <c r="BA89" s="79">
        <v>20319</v>
      </c>
      <c r="BB89" s="79">
        <v>20690</v>
      </c>
      <c r="BC89" s="79">
        <v>20982</v>
      </c>
      <c r="BD89" s="79">
        <v>21600</v>
      </c>
      <c r="BE89" s="79">
        <v>23360</v>
      </c>
      <c r="BF89" s="79">
        <v>24479</v>
      </c>
      <c r="BG89" s="79">
        <v>25136</v>
      </c>
      <c r="BH89" s="79">
        <v>26374</v>
      </c>
      <c r="BI89" s="79">
        <v>26069</v>
      </c>
      <c r="BJ89" s="79">
        <v>27135</v>
      </c>
      <c r="BK89" s="79">
        <v>28190</v>
      </c>
      <c r="BL89" s="79">
        <v>29176</v>
      </c>
      <c r="BM89" s="79">
        <v>30444</v>
      </c>
      <c r="BN89" s="79">
        <v>29620</v>
      </c>
      <c r="BO89" s="79">
        <v>29272</v>
      </c>
      <c r="BP89" s="79">
        <v>29320</v>
      </c>
      <c r="BQ89" s="79">
        <v>30105</v>
      </c>
      <c r="BR89" s="79">
        <v>31084</v>
      </c>
      <c r="BS89" s="79">
        <v>31928</v>
      </c>
      <c r="BT89" s="79">
        <v>35173</v>
      </c>
      <c r="BU89" s="79">
        <v>35118</v>
      </c>
      <c r="BV89" s="79">
        <v>35978</v>
      </c>
      <c r="BW89" s="79">
        <v>37300</v>
      </c>
      <c r="BX89" s="79">
        <v>37822</v>
      </c>
      <c r="BY89" s="79">
        <v>39269</v>
      </c>
      <c r="BZ89" s="79">
        <v>41035</v>
      </c>
      <c r="CA89" s="79">
        <v>43005</v>
      </c>
      <c r="CB89" s="79">
        <v>44768</v>
      </c>
      <c r="CC89" s="79">
        <v>47467</v>
      </c>
      <c r="CD89" s="79">
        <v>47666</v>
      </c>
      <c r="CE89" s="79">
        <v>48047</v>
      </c>
      <c r="CF89" s="79">
        <v>47811</v>
      </c>
      <c r="CG89" s="79">
        <v>49042</v>
      </c>
      <c r="CH89" s="79">
        <v>49808</v>
      </c>
      <c r="CI89" s="79">
        <v>51743</v>
      </c>
      <c r="CJ89" s="79">
        <v>51838</v>
      </c>
      <c r="CK89" s="79">
        <v>50975</v>
      </c>
      <c r="CL89" s="79">
        <v>49568</v>
      </c>
      <c r="CM89" s="79">
        <v>50310</v>
      </c>
      <c r="CN89" s="79">
        <v>50495</v>
      </c>
      <c r="CO89" s="79">
        <v>53184</v>
      </c>
      <c r="CP89" s="79">
        <v>55000</v>
      </c>
      <c r="CQ89" s="79">
        <v>55478</v>
      </c>
      <c r="CR89" s="79">
        <v>55505</v>
      </c>
      <c r="CS89" s="79">
        <v>58010</v>
      </c>
      <c r="CT89" s="79">
        <v>59624</v>
      </c>
      <c r="CU89" s="79">
        <v>62474</v>
      </c>
      <c r="CV89" s="79">
        <v>60113</v>
      </c>
      <c r="CW89" s="79">
        <v>60400</v>
      </c>
      <c r="CX89" s="79">
        <v>61646</v>
      </c>
      <c r="CY89" s="79">
        <v>63276</v>
      </c>
      <c r="CZ89" s="79">
        <v>60866</v>
      </c>
      <c r="DA89" s="79">
        <v>60534</v>
      </c>
      <c r="DB89" s="79">
        <v>60573</v>
      </c>
      <c r="DC89" s="79">
        <v>61152</v>
      </c>
      <c r="DD89" s="79">
        <v>60900</v>
      </c>
      <c r="DE89" s="79">
        <v>61388</v>
      </c>
      <c r="DF89" s="85">
        <v>61927</v>
      </c>
      <c r="DG89" s="83">
        <v>63736</v>
      </c>
      <c r="DH89" s="83">
        <v>64052</v>
      </c>
      <c r="DI89" s="83">
        <v>65025</v>
      </c>
      <c r="DJ89" s="83">
        <v>66135</v>
      </c>
      <c r="DK89" s="79">
        <v>69612</v>
      </c>
      <c r="DL89" s="83">
        <v>70053</v>
      </c>
      <c r="DM89" s="83">
        <v>71223</v>
      </c>
      <c r="DN89" s="79">
        <v>70801</v>
      </c>
      <c r="DO89" s="79">
        <v>69547</v>
      </c>
      <c r="DP89" s="79">
        <v>71406</v>
      </c>
      <c r="DQ89" s="79">
        <v>71779</v>
      </c>
      <c r="DR89" s="79">
        <v>71798</v>
      </c>
      <c r="DS89" s="83">
        <v>73831</v>
      </c>
      <c r="DT89" s="83">
        <v>74504</v>
      </c>
      <c r="DU89" s="83">
        <v>72413</v>
      </c>
      <c r="DV89" s="83">
        <v>72771</v>
      </c>
      <c r="DW89" s="83">
        <v>73783</v>
      </c>
      <c r="DX89" s="83">
        <v>72032</v>
      </c>
      <c r="DY89" s="83">
        <v>72779</v>
      </c>
      <c r="DZ89" s="83">
        <v>73224</v>
      </c>
      <c r="EA89" s="79">
        <v>69650</v>
      </c>
      <c r="EB89" s="79">
        <v>69796</v>
      </c>
      <c r="EC89" s="79">
        <v>71191</v>
      </c>
      <c r="ED89" s="79">
        <v>70215</v>
      </c>
      <c r="EE89" s="79">
        <v>72692</v>
      </c>
      <c r="EF89" s="79">
        <v>69086</v>
      </c>
      <c r="EG89" s="79">
        <v>68029</v>
      </c>
      <c r="EH89" s="79">
        <v>71034</v>
      </c>
      <c r="EI89" s="79">
        <v>71452</v>
      </c>
      <c r="EJ89" s="79">
        <v>72633</v>
      </c>
      <c r="EK89" s="79">
        <v>71722</v>
      </c>
      <c r="EL89" s="79">
        <v>70028</v>
      </c>
      <c r="EM89" s="79">
        <v>68254</v>
      </c>
      <c r="EN89" s="79">
        <v>67908</v>
      </c>
      <c r="EO89" s="79">
        <v>67665</v>
      </c>
      <c r="EP89" s="79">
        <v>66047</v>
      </c>
      <c r="EQ89" s="79">
        <v>65435</v>
      </c>
      <c r="ER89" s="79">
        <v>65761</v>
      </c>
      <c r="ES89" s="79">
        <v>67278</v>
      </c>
      <c r="ET89" s="79">
        <v>69056</v>
      </c>
      <c r="EU89" s="79">
        <v>70160</v>
      </c>
      <c r="EV89" s="79">
        <v>70476</v>
      </c>
      <c r="EW89" s="79">
        <v>69859</v>
      </c>
      <c r="EX89" s="79">
        <v>70753</v>
      </c>
      <c r="EY89" s="79">
        <v>71302</v>
      </c>
      <c r="EZ89" s="79">
        <v>71478</v>
      </c>
      <c r="FA89" s="79">
        <v>70957</v>
      </c>
      <c r="FB89" s="79">
        <v>70151</v>
      </c>
      <c r="FC89" s="79">
        <v>70733</v>
      </c>
      <c r="FD89" s="310">
        <v>71013</v>
      </c>
      <c r="FE89" s="95">
        <v>70687</v>
      </c>
      <c r="FF89" s="95">
        <v>70795</v>
      </c>
      <c r="FG89" s="95">
        <v>69457</v>
      </c>
      <c r="FH89" s="95">
        <v>69925</v>
      </c>
      <c r="FI89" s="95">
        <v>70347</v>
      </c>
      <c r="FJ89" s="95">
        <v>71178</v>
      </c>
      <c r="FK89" s="95">
        <v>70439</v>
      </c>
      <c r="FL89" s="95">
        <v>69985</v>
      </c>
      <c r="FM89" s="95">
        <v>69871</v>
      </c>
      <c r="FN89" s="95">
        <v>70993</v>
      </c>
      <c r="FO89" s="311">
        <v>71162</v>
      </c>
      <c r="FP89" s="310">
        <v>70313</v>
      </c>
      <c r="FQ89" s="95">
        <v>69329</v>
      </c>
      <c r="FR89" s="95">
        <v>68119</v>
      </c>
      <c r="FS89" s="95">
        <v>68518</v>
      </c>
      <c r="FT89" s="95">
        <v>68720</v>
      </c>
      <c r="FU89" s="95">
        <v>69742</v>
      </c>
      <c r="FV89" s="95">
        <v>70717</v>
      </c>
      <c r="FW89" s="95">
        <v>71229</v>
      </c>
      <c r="FX89" s="95">
        <v>72909</v>
      </c>
      <c r="FY89" s="95">
        <v>72254</v>
      </c>
      <c r="FZ89" s="95">
        <v>72719</v>
      </c>
      <c r="GA89" s="311">
        <v>74035</v>
      </c>
      <c r="GB89" s="434">
        <v>71856</v>
      </c>
      <c r="GC89" s="326">
        <v>71827</v>
      </c>
      <c r="GD89" s="379"/>
      <c r="GE89" s="49"/>
      <c r="GF89" s="317"/>
      <c r="GG89" s="49"/>
      <c r="GH89" s="49"/>
      <c r="GI89" s="379"/>
    </row>
    <row r="90" spans="1:192" s="56" customFormat="1" ht="15" customHeight="1">
      <c r="A90" s="14"/>
      <c r="B90" s="93" t="s">
        <v>97</v>
      </c>
      <c r="C90" s="86">
        <v>6953</v>
      </c>
      <c r="D90" s="86">
        <v>7445</v>
      </c>
      <c r="E90" s="86">
        <v>7671</v>
      </c>
      <c r="F90" s="86">
        <v>7899</v>
      </c>
      <c r="G90" s="86">
        <v>8261</v>
      </c>
      <c r="H90" s="86">
        <v>8502</v>
      </c>
      <c r="I90" s="86">
        <v>9147</v>
      </c>
      <c r="J90" s="86">
        <v>9367</v>
      </c>
      <c r="K90" s="86">
        <v>9705</v>
      </c>
      <c r="L90" s="86">
        <v>9775</v>
      </c>
      <c r="M90" s="86">
        <v>9588</v>
      </c>
      <c r="N90" s="84">
        <v>9885</v>
      </c>
      <c r="O90" s="87">
        <v>12254</v>
      </c>
      <c r="P90" s="87">
        <v>12474</v>
      </c>
      <c r="Q90" s="87">
        <v>12899</v>
      </c>
      <c r="R90" s="87">
        <v>13650</v>
      </c>
      <c r="S90" s="87">
        <v>13732</v>
      </c>
      <c r="T90" s="87">
        <v>13888</v>
      </c>
      <c r="U90" s="87">
        <v>13792</v>
      </c>
      <c r="V90" s="87">
        <v>14036</v>
      </c>
      <c r="W90" s="87">
        <v>13278</v>
      </c>
      <c r="X90" s="87">
        <v>13138</v>
      </c>
      <c r="Y90" s="87">
        <v>14051</v>
      </c>
      <c r="Z90" s="87">
        <v>13272</v>
      </c>
      <c r="AA90" s="87">
        <v>14684</v>
      </c>
      <c r="AB90" s="85">
        <v>15267</v>
      </c>
      <c r="AC90" s="85">
        <v>15826</v>
      </c>
      <c r="AD90" s="85">
        <v>16701</v>
      </c>
      <c r="AE90" s="85">
        <v>16842</v>
      </c>
      <c r="AF90" s="85">
        <v>17128</v>
      </c>
      <c r="AG90" s="85">
        <v>17486</v>
      </c>
      <c r="AH90" s="85">
        <v>18820</v>
      </c>
      <c r="AI90" s="85">
        <v>19441</v>
      </c>
      <c r="AJ90" s="85">
        <v>19145</v>
      </c>
      <c r="AK90" s="85">
        <v>19538</v>
      </c>
      <c r="AL90" s="85">
        <v>19658</v>
      </c>
      <c r="AM90" s="85">
        <v>21080</v>
      </c>
      <c r="AN90" s="85">
        <v>18329</v>
      </c>
      <c r="AO90" s="85">
        <v>18521</v>
      </c>
      <c r="AP90" s="85">
        <v>18677</v>
      </c>
      <c r="AQ90" s="85">
        <v>19144</v>
      </c>
      <c r="AR90" s="85">
        <v>18148</v>
      </c>
      <c r="AS90" s="85">
        <v>18791</v>
      </c>
      <c r="AT90" s="85">
        <v>19577</v>
      </c>
      <c r="AU90" s="85">
        <v>20302</v>
      </c>
      <c r="AV90" s="85">
        <v>22525</v>
      </c>
      <c r="AW90" s="85">
        <v>23445</v>
      </c>
      <c r="AX90" s="85">
        <v>23523</v>
      </c>
      <c r="AY90" s="79">
        <v>26956</v>
      </c>
      <c r="AZ90" s="79">
        <v>27037</v>
      </c>
      <c r="BA90" s="79">
        <v>25349</v>
      </c>
      <c r="BB90" s="79">
        <v>25911</v>
      </c>
      <c r="BC90" s="79">
        <v>26081</v>
      </c>
      <c r="BD90" s="79">
        <v>26580</v>
      </c>
      <c r="BE90" s="79">
        <v>28481</v>
      </c>
      <c r="BF90" s="79">
        <v>29825</v>
      </c>
      <c r="BG90" s="79">
        <v>30880</v>
      </c>
      <c r="BH90" s="79">
        <v>32536</v>
      </c>
      <c r="BI90" s="79">
        <v>31295</v>
      </c>
      <c r="BJ90" s="79">
        <v>33580</v>
      </c>
      <c r="BK90" s="79">
        <v>34920</v>
      </c>
      <c r="BL90" s="79">
        <v>36187</v>
      </c>
      <c r="BM90" s="79">
        <v>37659</v>
      </c>
      <c r="BN90" s="79">
        <v>36973</v>
      </c>
      <c r="BO90" s="79">
        <v>36721</v>
      </c>
      <c r="BP90" s="79">
        <v>36957</v>
      </c>
      <c r="BQ90" s="79">
        <v>37811</v>
      </c>
      <c r="BR90" s="79">
        <v>38807</v>
      </c>
      <c r="BS90" s="79">
        <v>39690</v>
      </c>
      <c r="BT90" s="79">
        <v>42983</v>
      </c>
      <c r="BU90" s="79">
        <v>42921</v>
      </c>
      <c r="BV90" s="79">
        <v>43814</v>
      </c>
      <c r="BW90" s="79">
        <v>45438</v>
      </c>
      <c r="BX90" s="79">
        <v>46211</v>
      </c>
      <c r="BY90" s="79">
        <v>47666</v>
      </c>
      <c r="BZ90" s="79">
        <v>49265</v>
      </c>
      <c r="CA90" s="173">
        <v>51224</v>
      </c>
      <c r="CB90" s="173">
        <v>53051</v>
      </c>
      <c r="CC90" s="173">
        <v>55851</v>
      </c>
      <c r="CD90" s="79">
        <v>55874</v>
      </c>
      <c r="CE90" s="79">
        <v>56388</v>
      </c>
      <c r="CF90" s="173">
        <v>56213</v>
      </c>
      <c r="CG90" s="79">
        <v>57299</v>
      </c>
      <c r="CH90" s="173">
        <v>58201</v>
      </c>
      <c r="CI90" s="79">
        <v>60386</v>
      </c>
      <c r="CJ90" s="79">
        <v>60809</v>
      </c>
      <c r="CK90" s="79">
        <v>59740</v>
      </c>
      <c r="CL90" s="79">
        <v>58453</v>
      </c>
      <c r="CM90" s="79">
        <v>59265</v>
      </c>
      <c r="CN90" s="79">
        <v>59602</v>
      </c>
      <c r="CO90" s="79">
        <v>62322</v>
      </c>
      <c r="CP90" s="79">
        <v>64438</v>
      </c>
      <c r="CQ90" s="79">
        <v>65125</v>
      </c>
      <c r="CR90" s="79">
        <v>65111</v>
      </c>
      <c r="CS90" s="79">
        <v>67148</v>
      </c>
      <c r="CT90" s="79">
        <v>68973</v>
      </c>
      <c r="CU90" s="79">
        <v>72178</v>
      </c>
      <c r="CV90" s="79">
        <v>69885</v>
      </c>
      <c r="CW90" s="79">
        <v>70477</v>
      </c>
      <c r="CX90" s="79">
        <v>72034</v>
      </c>
      <c r="CY90" s="79">
        <v>73626</v>
      </c>
      <c r="CZ90" s="79">
        <v>71239</v>
      </c>
      <c r="DA90" s="79">
        <v>71197</v>
      </c>
      <c r="DB90" s="79">
        <v>71436</v>
      </c>
      <c r="DC90" s="79">
        <v>72362</v>
      </c>
      <c r="DD90" s="79">
        <v>72332</v>
      </c>
      <c r="DE90" s="173">
        <v>72913</v>
      </c>
      <c r="DF90" s="85">
        <v>73271</v>
      </c>
      <c r="DG90" s="83">
        <v>75466</v>
      </c>
      <c r="DH90" s="81">
        <v>75779</v>
      </c>
      <c r="DI90" s="83">
        <v>77212</v>
      </c>
      <c r="DJ90" s="83">
        <v>78465</v>
      </c>
      <c r="DK90" s="79">
        <v>82004</v>
      </c>
      <c r="DL90" s="83">
        <v>82594</v>
      </c>
      <c r="DM90" s="83">
        <v>84175</v>
      </c>
      <c r="DN90" s="79">
        <v>83699</v>
      </c>
      <c r="DO90" s="173">
        <v>82686</v>
      </c>
      <c r="DP90" s="173">
        <v>84670</v>
      </c>
      <c r="DQ90" s="79">
        <v>85125</v>
      </c>
      <c r="DR90" s="79">
        <v>85289</v>
      </c>
      <c r="DS90" s="83">
        <v>87679</v>
      </c>
      <c r="DT90" s="83">
        <v>88523</v>
      </c>
      <c r="DU90" s="83">
        <v>86631</v>
      </c>
      <c r="DV90" s="81">
        <v>86822</v>
      </c>
      <c r="DW90" s="83">
        <v>87962</v>
      </c>
      <c r="DX90" s="83">
        <v>86457</v>
      </c>
      <c r="DY90" s="83">
        <v>86583</v>
      </c>
      <c r="DZ90" s="83">
        <v>87264</v>
      </c>
      <c r="EA90" s="79">
        <v>86412</v>
      </c>
      <c r="EB90" s="79">
        <v>87462</v>
      </c>
      <c r="EC90" s="79">
        <v>88974</v>
      </c>
      <c r="ED90" s="79">
        <v>88025</v>
      </c>
      <c r="EE90" s="79">
        <v>90728</v>
      </c>
      <c r="EF90" s="79">
        <v>87062</v>
      </c>
      <c r="EG90" s="79">
        <v>85963</v>
      </c>
      <c r="EH90" s="79">
        <v>88944</v>
      </c>
      <c r="EI90" s="79">
        <v>89481</v>
      </c>
      <c r="EJ90" s="79">
        <v>90621</v>
      </c>
      <c r="EK90" s="79">
        <v>89630</v>
      </c>
      <c r="EL90" s="79">
        <v>87854</v>
      </c>
      <c r="EM90" s="79">
        <v>85673</v>
      </c>
      <c r="EN90" s="79">
        <v>85176</v>
      </c>
      <c r="EO90" s="79">
        <v>84752</v>
      </c>
      <c r="EP90" s="79">
        <v>82936</v>
      </c>
      <c r="EQ90" s="79">
        <v>82595</v>
      </c>
      <c r="ER90" s="79">
        <v>82548</v>
      </c>
      <c r="ES90" s="79">
        <v>83793</v>
      </c>
      <c r="ET90" s="79">
        <v>85394</v>
      </c>
      <c r="EU90" s="79">
        <v>86763</v>
      </c>
      <c r="EV90" s="79">
        <v>87219</v>
      </c>
      <c r="EW90" s="79">
        <v>86742</v>
      </c>
      <c r="EX90" s="79">
        <v>87585</v>
      </c>
      <c r="EY90" s="79">
        <v>88014</v>
      </c>
      <c r="EZ90" s="79">
        <v>88418</v>
      </c>
      <c r="FA90" s="79">
        <v>88087</v>
      </c>
      <c r="FB90" s="79">
        <v>87139</v>
      </c>
      <c r="FC90" s="79">
        <v>88082</v>
      </c>
      <c r="FD90" s="310">
        <v>88441</v>
      </c>
      <c r="FE90" s="95">
        <v>88096</v>
      </c>
      <c r="FF90" s="95">
        <v>87835</v>
      </c>
      <c r="FG90" s="95">
        <v>86559</v>
      </c>
      <c r="FH90" s="95">
        <v>87012</v>
      </c>
      <c r="FI90" s="95">
        <v>87582</v>
      </c>
      <c r="FJ90" s="95">
        <v>88722</v>
      </c>
      <c r="FK90" s="95">
        <v>88336</v>
      </c>
      <c r="FL90" s="95">
        <v>87741</v>
      </c>
      <c r="FM90" s="95">
        <v>87632</v>
      </c>
      <c r="FN90" s="95">
        <v>88756</v>
      </c>
      <c r="FO90" s="311">
        <v>89441</v>
      </c>
      <c r="FP90" s="310">
        <v>88463</v>
      </c>
      <c r="FQ90" s="95">
        <v>87642</v>
      </c>
      <c r="FR90" s="95">
        <v>86476</v>
      </c>
      <c r="FS90" s="95">
        <v>86675</v>
      </c>
      <c r="FT90" s="95">
        <v>86968</v>
      </c>
      <c r="FU90" s="95">
        <v>88221</v>
      </c>
      <c r="FV90" s="95">
        <v>89330</v>
      </c>
      <c r="FW90" s="95">
        <v>90241</v>
      </c>
      <c r="FX90" s="95">
        <v>92100</v>
      </c>
      <c r="FY90" s="95">
        <v>91513</v>
      </c>
      <c r="FZ90" s="95">
        <v>92046</v>
      </c>
      <c r="GA90" s="311">
        <v>93697</v>
      </c>
      <c r="GB90" s="434">
        <v>91691</v>
      </c>
      <c r="GC90" s="326">
        <v>91724</v>
      </c>
      <c r="GD90" s="379"/>
      <c r="GE90" s="49"/>
      <c r="GF90" s="49"/>
      <c r="GG90" s="49"/>
      <c r="GH90" s="49"/>
      <c r="GI90" s="379"/>
      <c r="GJ90" s="48"/>
    </row>
    <row r="91" spans="1:191" s="56" customFormat="1" ht="15" customHeight="1">
      <c r="A91" s="14"/>
      <c r="B91" s="255" t="s">
        <v>81</v>
      </c>
      <c r="C91" s="86">
        <v>2323</v>
      </c>
      <c r="D91" s="86">
        <v>2194</v>
      </c>
      <c r="E91" s="86">
        <v>2239</v>
      </c>
      <c r="F91" s="86">
        <v>2293</v>
      </c>
      <c r="G91" s="86">
        <v>2415</v>
      </c>
      <c r="H91" s="86">
        <v>2466</v>
      </c>
      <c r="I91" s="86">
        <v>2635</v>
      </c>
      <c r="J91" s="86">
        <v>2760</v>
      </c>
      <c r="K91" s="86">
        <v>2939</v>
      </c>
      <c r="L91" s="86">
        <v>2957</v>
      </c>
      <c r="M91" s="86">
        <v>2936</v>
      </c>
      <c r="N91" s="84">
        <v>3013</v>
      </c>
      <c r="O91" s="85">
        <v>5091</v>
      </c>
      <c r="P91" s="85">
        <v>4896</v>
      </c>
      <c r="Q91" s="85">
        <v>4621</v>
      </c>
      <c r="R91" s="85">
        <v>5089</v>
      </c>
      <c r="S91" s="85">
        <v>5399</v>
      </c>
      <c r="T91" s="85">
        <v>5477</v>
      </c>
      <c r="U91" s="85">
        <v>5450</v>
      </c>
      <c r="V91" s="85">
        <v>5702</v>
      </c>
      <c r="W91" s="85">
        <v>4852</v>
      </c>
      <c r="X91" s="85">
        <v>4765</v>
      </c>
      <c r="Y91" s="85">
        <v>5382</v>
      </c>
      <c r="Z91" s="85">
        <v>4785</v>
      </c>
      <c r="AA91" s="85">
        <v>5571</v>
      </c>
      <c r="AB91" s="85">
        <v>5819</v>
      </c>
      <c r="AC91" s="85">
        <v>6308</v>
      </c>
      <c r="AD91" s="85">
        <v>7068</v>
      </c>
      <c r="AE91" s="85">
        <v>7403</v>
      </c>
      <c r="AF91" s="85">
        <v>7740</v>
      </c>
      <c r="AG91" s="85">
        <v>7972</v>
      </c>
      <c r="AH91" s="85">
        <v>9235</v>
      </c>
      <c r="AI91" s="85">
        <v>9721</v>
      </c>
      <c r="AJ91" s="85">
        <v>9851</v>
      </c>
      <c r="AK91" s="85">
        <v>10082</v>
      </c>
      <c r="AL91" s="85">
        <v>10021</v>
      </c>
      <c r="AM91" s="85">
        <v>10112</v>
      </c>
      <c r="AN91" s="85">
        <v>7084</v>
      </c>
      <c r="AO91" s="85">
        <v>7046</v>
      </c>
      <c r="AP91" s="85">
        <v>7125</v>
      </c>
      <c r="AQ91" s="85">
        <v>7569</v>
      </c>
      <c r="AR91" s="85">
        <v>6305</v>
      </c>
      <c r="AS91" s="85">
        <v>6812</v>
      </c>
      <c r="AT91" s="85">
        <v>7423</v>
      </c>
      <c r="AU91" s="85">
        <v>7636</v>
      </c>
      <c r="AV91" s="85">
        <v>10018</v>
      </c>
      <c r="AW91" s="85">
        <v>10552</v>
      </c>
      <c r="AX91" s="85">
        <v>10419</v>
      </c>
      <c r="AY91" s="79">
        <v>12724</v>
      </c>
      <c r="AZ91" s="79">
        <v>12684</v>
      </c>
      <c r="BA91" s="79">
        <v>10602</v>
      </c>
      <c r="BB91" s="79">
        <v>10808</v>
      </c>
      <c r="BC91" s="79">
        <v>10899</v>
      </c>
      <c r="BD91" s="79">
        <v>11020</v>
      </c>
      <c r="BE91" s="79">
        <v>11990</v>
      </c>
      <c r="BF91" s="79">
        <v>12544</v>
      </c>
      <c r="BG91" s="79">
        <v>13514</v>
      </c>
      <c r="BH91" s="79">
        <v>14167</v>
      </c>
      <c r="BI91" s="79">
        <v>13261</v>
      </c>
      <c r="BJ91" s="79">
        <v>15485</v>
      </c>
      <c r="BK91" s="79">
        <v>16427</v>
      </c>
      <c r="BL91" s="79">
        <v>16606</v>
      </c>
      <c r="BM91" s="79">
        <v>17729</v>
      </c>
      <c r="BN91" s="79">
        <v>17077</v>
      </c>
      <c r="BO91" s="79">
        <v>16952</v>
      </c>
      <c r="BP91" s="79">
        <v>17063</v>
      </c>
      <c r="BQ91" s="79">
        <v>18047</v>
      </c>
      <c r="BR91" s="79">
        <v>18231</v>
      </c>
      <c r="BS91" s="79">
        <v>19238</v>
      </c>
      <c r="BT91" s="79">
        <v>21835</v>
      </c>
      <c r="BU91" s="79">
        <v>21988</v>
      </c>
      <c r="BV91" s="79">
        <v>22509</v>
      </c>
      <c r="BW91" s="79">
        <v>23662</v>
      </c>
      <c r="BX91" s="79">
        <v>24694</v>
      </c>
      <c r="BY91" s="79">
        <v>25764</v>
      </c>
      <c r="BZ91" s="79">
        <v>26609</v>
      </c>
      <c r="CA91" s="173">
        <v>27982</v>
      </c>
      <c r="CB91" s="173">
        <v>29707</v>
      </c>
      <c r="CC91" s="173">
        <v>32265</v>
      </c>
      <c r="CD91" s="79">
        <v>32119</v>
      </c>
      <c r="CE91" s="79">
        <v>33026</v>
      </c>
      <c r="CF91" s="173">
        <v>33045</v>
      </c>
      <c r="CG91" s="79">
        <v>33931</v>
      </c>
      <c r="CH91" s="173">
        <v>34320</v>
      </c>
      <c r="CI91" s="79">
        <v>36044</v>
      </c>
      <c r="CJ91" s="79">
        <v>36374</v>
      </c>
      <c r="CK91" s="79">
        <v>35384</v>
      </c>
      <c r="CL91" s="79">
        <v>33706</v>
      </c>
      <c r="CM91" s="79">
        <v>34278</v>
      </c>
      <c r="CN91" s="79">
        <v>34405</v>
      </c>
      <c r="CO91" s="79">
        <v>36991</v>
      </c>
      <c r="CP91" s="79">
        <v>39080</v>
      </c>
      <c r="CQ91" s="79">
        <v>38817</v>
      </c>
      <c r="CR91" s="79">
        <v>39262</v>
      </c>
      <c r="CS91" s="79">
        <v>40387</v>
      </c>
      <c r="CT91" s="79">
        <v>42107</v>
      </c>
      <c r="CU91" s="79">
        <v>43891</v>
      </c>
      <c r="CV91" s="79">
        <v>41855</v>
      </c>
      <c r="CW91" s="79">
        <v>41654</v>
      </c>
      <c r="CX91" s="79">
        <v>42895</v>
      </c>
      <c r="CY91" s="79">
        <v>43823</v>
      </c>
      <c r="CZ91" s="79">
        <v>41639</v>
      </c>
      <c r="DA91" s="79">
        <v>40496</v>
      </c>
      <c r="DB91" s="79">
        <v>40537</v>
      </c>
      <c r="DC91" s="79">
        <v>41410</v>
      </c>
      <c r="DD91" s="79">
        <v>42350</v>
      </c>
      <c r="DE91" s="79">
        <v>43160</v>
      </c>
      <c r="DF91" s="85">
        <v>43519</v>
      </c>
      <c r="DG91" s="83">
        <v>44872</v>
      </c>
      <c r="DH91" s="83">
        <v>44959</v>
      </c>
      <c r="DI91" s="83">
        <v>46198</v>
      </c>
      <c r="DJ91" s="83">
        <v>46354</v>
      </c>
      <c r="DK91" s="79">
        <v>48570</v>
      </c>
      <c r="DL91" s="83">
        <v>48416</v>
      </c>
      <c r="DM91" s="83">
        <v>50038</v>
      </c>
      <c r="DN91" s="79">
        <v>49962</v>
      </c>
      <c r="DO91" s="173">
        <v>49039</v>
      </c>
      <c r="DP91" s="173">
        <v>50555</v>
      </c>
      <c r="DQ91" s="79">
        <v>50521</v>
      </c>
      <c r="DR91" s="79">
        <v>50788</v>
      </c>
      <c r="DS91" s="83">
        <v>52684</v>
      </c>
      <c r="DT91" s="83">
        <v>53319</v>
      </c>
      <c r="DU91" s="83">
        <v>52146</v>
      </c>
      <c r="DV91" s="83">
        <v>52381</v>
      </c>
      <c r="DW91" s="83">
        <v>52471</v>
      </c>
      <c r="DX91" s="83">
        <v>50875</v>
      </c>
      <c r="DY91" s="83">
        <v>50174</v>
      </c>
      <c r="DZ91" s="83">
        <v>49996</v>
      </c>
      <c r="EA91" s="79">
        <v>50538</v>
      </c>
      <c r="EB91" s="79">
        <v>52499</v>
      </c>
      <c r="EC91" s="79">
        <v>53586</v>
      </c>
      <c r="ED91" s="79">
        <v>53336</v>
      </c>
      <c r="EE91" s="79">
        <v>54656</v>
      </c>
      <c r="EF91" s="79">
        <v>51368</v>
      </c>
      <c r="EG91" s="79">
        <v>49341</v>
      </c>
      <c r="EH91" s="79">
        <v>49832</v>
      </c>
      <c r="EI91" s="79">
        <v>49238</v>
      </c>
      <c r="EJ91" s="79">
        <v>50265</v>
      </c>
      <c r="EK91" s="79">
        <v>49734</v>
      </c>
      <c r="EL91" s="79">
        <v>49126</v>
      </c>
      <c r="EM91" s="79">
        <v>48936</v>
      </c>
      <c r="EN91" s="79">
        <v>49204</v>
      </c>
      <c r="EO91" s="79">
        <v>49107</v>
      </c>
      <c r="EP91" s="79">
        <v>47943</v>
      </c>
      <c r="EQ91" s="79">
        <v>47740</v>
      </c>
      <c r="ER91" s="79">
        <v>47379</v>
      </c>
      <c r="ES91" s="79">
        <v>47893</v>
      </c>
      <c r="ET91" s="79">
        <v>47869</v>
      </c>
      <c r="EU91" s="79">
        <v>47613</v>
      </c>
      <c r="EV91" s="79">
        <v>47874</v>
      </c>
      <c r="EW91" s="79">
        <v>46748</v>
      </c>
      <c r="EX91" s="79">
        <v>47178</v>
      </c>
      <c r="EY91" s="79">
        <v>47512</v>
      </c>
      <c r="EZ91" s="79">
        <v>47147</v>
      </c>
      <c r="FA91" s="79">
        <v>46596</v>
      </c>
      <c r="FB91" s="79">
        <v>45980</v>
      </c>
      <c r="FC91" s="79">
        <v>46007</v>
      </c>
      <c r="FD91" s="310">
        <v>47637</v>
      </c>
      <c r="FE91" s="95">
        <v>47622</v>
      </c>
      <c r="FF91" s="95">
        <v>47660</v>
      </c>
      <c r="FG91" s="95">
        <v>46834</v>
      </c>
      <c r="FH91" s="95">
        <v>47036</v>
      </c>
      <c r="FI91" s="95">
        <v>46239</v>
      </c>
      <c r="FJ91" s="95">
        <v>47486</v>
      </c>
      <c r="FK91" s="95">
        <v>47293</v>
      </c>
      <c r="FL91" s="95">
        <v>47039</v>
      </c>
      <c r="FM91" s="95">
        <v>46961</v>
      </c>
      <c r="FN91" s="95">
        <v>48818</v>
      </c>
      <c r="FO91" s="311">
        <v>49098</v>
      </c>
      <c r="FP91" s="310">
        <v>49093</v>
      </c>
      <c r="FQ91" s="95">
        <v>48755</v>
      </c>
      <c r="FR91" s="95">
        <v>48263</v>
      </c>
      <c r="FS91" s="95">
        <v>48621</v>
      </c>
      <c r="FT91" s="95">
        <v>48115</v>
      </c>
      <c r="FU91" s="95">
        <v>48657</v>
      </c>
      <c r="FV91" s="95">
        <v>49721</v>
      </c>
      <c r="FW91" s="95">
        <v>50745</v>
      </c>
      <c r="FX91" s="95">
        <v>52300</v>
      </c>
      <c r="FY91" s="95">
        <v>51000</v>
      </c>
      <c r="FZ91" s="95">
        <v>52168</v>
      </c>
      <c r="GA91" s="311">
        <v>53199</v>
      </c>
      <c r="GB91" s="434">
        <v>52768</v>
      </c>
      <c r="GC91" s="326">
        <v>51123</v>
      </c>
      <c r="GD91" s="379"/>
      <c r="GE91" s="49"/>
      <c r="GF91" s="49"/>
      <c r="GG91" s="49"/>
      <c r="GH91" s="49"/>
      <c r="GI91" s="379"/>
    </row>
    <row r="92" spans="1:191" ht="15" customHeight="1">
      <c r="A92" s="6"/>
      <c r="B92" s="117"/>
      <c r="C92" s="129"/>
      <c r="D92" s="129"/>
      <c r="E92" s="129"/>
      <c r="F92" s="129"/>
      <c r="G92" s="129"/>
      <c r="H92" s="129"/>
      <c r="I92" s="129"/>
      <c r="J92" s="129"/>
      <c r="K92" s="129"/>
      <c r="L92" s="129"/>
      <c r="M92" s="129"/>
      <c r="N92" s="80"/>
      <c r="O92" s="78"/>
      <c r="P92" s="85"/>
      <c r="Q92" s="85"/>
      <c r="R92" s="85"/>
      <c r="S92" s="85"/>
      <c r="T92" s="85"/>
      <c r="U92" s="85"/>
      <c r="V92" s="85"/>
      <c r="W92" s="85"/>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85"/>
      <c r="AW92" s="85"/>
      <c r="AX92" s="85"/>
      <c r="AY92" s="78"/>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161"/>
      <c r="CB92" s="161"/>
      <c r="CC92" s="161"/>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83"/>
      <c r="DC92" s="83"/>
      <c r="DD92" s="83"/>
      <c r="DE92" s="83"/>
      <c r="DF92" s="83"/>
      <c r="DG92" s="173"/>
      <c r="DH92" s="62"/>
      <c r="DI92" s="62"/>
      <c r="DJ92" s="62"/>
      <c r="DK92" s="83"/>
      <c r="DL92" s="83"/>
      <c r="DM92" s="83"/>
      <c r="DN92" s="25"/>
      <c r="DO92" s="62"/>
      <c r="DP92" s="173"/>
      <c r="DQ92" s="173"/>
      <c r="DR92" s="173"/>
      <c r="DS92" s="173"/>
      <c r="DT92" s="288"/>
      <c r="DU92" s="288"/>
      <c r="DV92" s="83"/>
      <c r="DW92" s="83"/>
      <c r="DX92" s="83"/>
      <c r="DY92" s="83"/>
      <c r="DZ92" s="83"/>
      <c r="EA92" s="83"/>
      <c r="EB92" s="83"/>
      <c r="EC92" s="83"/>
      <c r="ED92" s="83"/>
      <c r="EE92" s="83"/>
      <c r="EF92" s="81"/>
      <c r="EG92" s="81"/>
      <c r="EH92" s="81"/>
      <c r="EI92" s="81"/>
      <c r="EJ92" s="81"/>
      <c r="EK92" s="81"/>
      <c r="EL92" s="81"/>
      <c r="EM92" s="81"/>
      <c r="EN92" s="81"/>
      <c r="EO92" s="81"/>
      <c r="EP92" s="81"/>
      <c r="EQ92" s="81"/>
      <c r="ER92" s="79"/>
      <c r="ES92" s="79"/>
      <c r="ET92" s="79"/>
      <c r="EU92" s="79"/>
      <c r="EV92" s="79"/>
      <c r="EW92" s="79"/>
      <c r="EX92" s="79"/>
      <c r="EY92" s="79"/>
      <c r="EZ92" s="79"/>
      <c r="FA92" s="79"/>
      <c r="FB92" s="79"/>
      <c r="FC92" s="79"/>
      <c r="FD92" s="310"/>
      <c r="FE92" s="95"/>
      <c r="FF92" s="95"/>
      <c r="FG92" s="95"/>
      <c r="FH92" s="95"/>
      <c r="FI92" s="95"/>
      <c r="FJ92" s="95"/>
      <c r="FK92" s="95"/>
      <c r="FL92" s="317"/>
      <c r="FM92" s="317"/>
      <c r="FN92" s="317"/>
      <c r="FO92" s="364"/>
      <c r="FP92" s="310"/>
      <c r="FQ92" s="95"/>
      <c r="FR92" s="95"/>
      <c r="FS92" s="95"/>
      <c r="FT92" s="95"/>
      <c r="FU92" s="95"/>
      <c r="FV92" s="95"/>
      <c r="FW92" s="95"/>
      <c r="FX92" s="95"/>
      <c r="FY92" s="387"/>
      <c r="FZ92" s="387"/>
      <c r="GA92" s="379"/>
      <c r="GB92" s="93"/>
      <c r="GC92" s="49"/>
      <c r="GD92" s="379"/>
      <c r="GE92" s="3"/>
      <c r="GF92" s="3"/>
      <c r="GG92" s="3"/>
      <c r="GH92" s="3"/>
      <c r="GI92" s="132"/>
    </row>
    <row r="93" spans="1:191" ht="15" customHeight="1">
      <c r="A93" s="6"/>
      <c r="B93" s="253" t="s">
        <v>47</v>
      </c>
      <c r="C93" s="86"/>
      <c r="D93" s="85"/>
      <c r="E93" s="85"/>
      <c r="F93" s="85"/>
      <c r="G93" s="85"/>
      <c r="H93" s="85"/>
      <c r="I93" s="85"/>
      <c r="J93" s="85"/>
      <c r="K93" s="85"/>
      <c r="L93" s="85"/>
      <c r="M93" s="85"/>
      <c r="N93" s="84"/>
      <c r="O93" s="85">
        <v>1064</v>
      </c>
      <c r="P93" s="85">
        <v>796</v>
      </c>
      <c r="Q93" s="85">
        <v>1562</v>
      </c>
      <c r="R93" s="85">
        <v>2135</v>
      </c>
      <c r="S93" s="85">
        <v>1837</v>
      </c>
      <c r="T93" s="85">
        <v>3290</v>
      </c>
      <c r="U93" s="85">
        <v>4224</v>
      </c>
      <c r="V93" s="85">
        <v>4325</v>
      </c>
      <c r="W93" s="85">
        <v>4341</v>
      </c>
      <c r="X93" s="85">
        <v>4599</v>
      </c>
      <c r="Y93" s="78">
        <v>4656</v>
      </c>
      <c r="Z93" s="78">
        <v>4616</v>
      </c>
      <c r="AA93" s="78">
        <v>4501</v>
      </c>
      <c r="AB93" s="78">
        <v>4588</v>
      </c>
      <c r="AC93" s="78">
        <v>4424</v>
      </c>
      <c r="AD93" s="78">
        <v>4742</v>
      </c>
      <c r="AE93" s="78">
        <v>4802</v>
      </c>
      <c r="AF93" s="78">
        <v>4547</v>
      </c>
      <c r="AG93" s="78">
        <v>4950</v>
      </c>
      <c r="AH93" s="78">
        <v>5344</v>
      </c>
      <c r="AI93" s="78">
        <v>5171</v>
      </c>
      <c r="AJ93" s="78">
        <v>6089</v>
      </c>
      <c r="AK93" s="78">
        <v>6829</v>
      </c>
      <c r="AL93" s="78">
        <v>6860</v>
      </c>
      <c r="AM93" s="78">
        <v>6192</v>
      </c>
      <c r="AN93" s="78">
        <v>6313</v>
      </c>
      <c r="AO93" s="78">
        <v>5847</v>
      </c>
      <c r="AP93" s="78">
        <v>6536</v>
      </c>
      <c r="AQ93" s="78">
        <v>6446</v>
      </c>
      <c r="AR93" s="78">
        <v>5267</v>
      </c>
      <c r="AS93" s="78">
        <v>5488</v>
      </c>
      <c r="AT93" s="78">
        <v>5702</v>
      </c>
      <c r="AU93" s="78">
        <v>5268</v>
      </c>
      <c r="AV93" s="85">
        <v>6355</v>
      </c>
      <c r="AW93" s="85">
        <v>8238</v>
      </c>
      <c r="AX93" s="85">
        <v>5609</v>
      </c>
      <c r="AY93" s="81">
        <v>5193</v>
      </c>
      <c r="AZ93" s="81">
        <v>6057</v>
      </c>
      <c r="BA93" s="81">
        <v>7085</v>
      </c>
      <c r="BB93" s="81">
        <v>7240</v>
      </c>
      <c r="BC93" s="81">
        <v>6222</v>
      </c>
      <c r="BD93" s="81">
        <v>6232</v>
      </c>
      <c r="BE93" s="79">
        <v>7601</v>
      </c>
      <c r="BF93" s="79">
        <v>7929</v>
      </c>
      <c r="BG93" s="79">
        <v>7700</v>
      </c>
      <c r="BH93" s="79">
        <v>8265</v>
      </c>
      <c r="BI93" s="79">
        <v>6643</v>
      </c>
      <c r="BJ93" s="79">
        <v>8058</v>
      </c>
      <c r="BK93" s="79">
        <v>7597</v>
      </c>
      <c r="BL93" s="79">
        <v>7598</v>
      </c>
      <c r="BM93" s="79">
        <v>8191</v>
      </c>
      <c r="BN93" s="79">
        <v>7944</v>
      </c>
      <c r="BO93" s="79">
        <v>8514</v>
      </c>
      <c r="BP93" s="79">
        <v>8081</v>
      </c>
      <c r="BQ93" s="79">
        <v>6927</v>
      </c>
      <c r="BR93" s="79">
        <v>7870</v>
      </c>
      <c r="BS93" s="79">
        <v>8039</v>
      </c>
      <c r="BT93" s="79">
        <v>7974</v>
      </c>
      <c r="BU93" s="79">
        <v>7646</v>
      </c>
      <c r="BV93" s="79">
        <v>8183</v>
      </c>
      <c r="BW93" s="79">
        <v>8902</v>
      </c>
      <c r="BX93" s="79">
        <v>8457</v>
      </c>
      <c r="BY93" s="79">
        <v>8119</v>
      </c>
      <c r="BZ93" s="79">
        <v>8713</v>
      </c>
      <c r="CA93" s="79">
        <v>8476</v>
      </c>
      <c r="CB93" s="78">
        <v>8384</v>
      </c>
      <c r="CC93" s="173">
        <v>8031</v>
      </c>
      <c r="CD93" s="79">
        <v>8502</v>
      </c>
      <c r="CE93" s="79">
        <v>8384</v>
      </c>
      <c r="CF93" s="81">
        <v>8724</v>
      </c>
      <c r="CG93" s="81">
        <v>8131</v>
      </c>
      <c r="CH93" s="81">
        <v>5367</v>
      </c>
      <c r="CI93" s="79">
        <v>4763</v>
      </c>
      <c r="CJ93" s="79">
        <v>5567</v>
      </c>
      <c r="CK93" s="79">
        <v>5442</v>
      </c>
      <c r="CL93" s="79">
        <v>6123</v>
      </c>
      <c r="CM93" s="79">
        <v>7321</v>
      </c>
      <c r="CN93" s="79">
        <v>7363</v>
      </c>
      <c r="CO93" s="79">
        <v>7987</v>
      </c>
      <c r="CP93" s="79">
        <v>7762</v>
      </c>
      <c r="CQ93" s="79">
        <v>7571</v>
      </c>
      <c r="CR93" s="79">
        <v>8234</v>
      </c>
      <c r="CS93" s="79">
        <v>8730</v>
      </c>
      <c r="CT93" s="79">
        <v>9185</v>
      </c>
      <c r="CU93" s="79">
        <v>9076</v>
      </c>
      <c r="CV93" s="79">
        <v>8906</v>
      </c>
      <c r="CW93" s="79">
        <v>7507</v>
      </c>
      <c r="CX93" s="79">
        <v>8045</v>
      </c>
      <c r="CY93" s="79">
        <v>8981</v>
      </c>
      <c r="CZ93" s="79">
        <v>9410</v>
      </c>
      <c r="DA93" s="79">
        <v>10000</v>
      </c>
      <c r="DB93" s="78">
        <v>9780</v>
      </c>
      <c r="DC93" s="79">
        <v>9282</v>
      </c>
      <c r="DD93" s="85">
        <v>10039</v>
      </c>
      <c r="DE93" s="79">
        <v>9615</v>
      </c>
      <c r="DF93" s="78">
        <v>10398</v>
      </c>
      <c r="DG93" s="85">
        <v>11198</v>
      </c>
      <c r="DH93" s="85">
        <v>10850</v>
      </c>
      <c r="DI93" s="85">
        <f>3964+5857</f>
        <v>9821</v>
      </c>
      <c r="DJ93" s="85">
        <v>10170</v>
      </c>
      <c r="DK93" s="81">
        <v>10337</v>
      </c>
      <c r="DL93" s="81">
        <f>3876+5986</f>
        <v>9862</v>
      </c>
      <c r="DM93" s="81">
        <v>9612</v>
      </c>
      <c r="DN93" s="81">
        <v>10209</v>
      </c>
      <c r="DO93" s="81">
        <v>9579</v>
      </c>
      <c r="DP93" s="81">
        <v>9627</v>
      </c>
      <c r="DQ93" s="79">
        <v>9635</v>
      </c>
      <c r="DR93" s="79">
        <v>10505</v>
      </c>
      <c r="DS93" s="79">
        <v>9580</v>
      </c>
      <c r="DT93" s="79">
        <v>9813</v>
      </c>
      <c r="DU93" s="79">
        <v>8759</v>
      </c>
      <c r="DV93" s="83">
        <v>9231</v>
      </c>
      <c r="DW93" s="83">
        <v>9329</v>
      </c>
      <c r="DX93" s="83">
        <v>9826</v>
      </c>
      <c r="DY93" s="83">
        <v>9175</v>
      </c>
      <c r="DZ93" s="83">
        <v>9765</v>
      </c>
      <c r="EA93" s="83">
        <v>10934</v>
      </c>
      <c r="EB93" s="83">
        <v>11709</v>
      </c>
      <c r="EC93" s="83">
        <v>13595</v>
      </c>
      <c r="ED93" s="83">
        <v>12591</v>
      </c>
      <c r="EE93" s="83">
        <v>13169</v>
      </c>
      <c r="EF93" s="79">
        <v>12905</v>
      </c>
      <c r="EG93" s="79">
        <v>14872</v>
      </c>
      <c r="EH93" s="79">
        <v>15168</v>
      </c>
      <c r="EI93" s="79">
        <v>14812</v>
      </c>
      <c r="EJ93" s="79">
        <v>14934</v>
      </c>
      <c r="EK93" s="79">
        <v>14087</v>
      </c>
      <c r="EL93" s="79">
        <v>13588</v>
      </c>
      <c r="EM93" s="79">
        <v>13260</v>
      </c>
      <c r="EN93" s="79">
        <v>13118</v>
      </c>
      <c r="EO93" s="79">
        <v>12096</v>
      </c>
      <c r="EP93" s="79">
        <v>11518</v>
      </c>
      <c r="EQ93" s="79">
        <v>11217</v>
      </c>
      <c r="ER93" s="79">
        <v>11477</v>
      </c>
      <c r="ES93" s="79">
        <v>10795</v>
      </c>
      <c r="ET93" s="79">
        <v>9506</v>
      </c>
      <c r="EU93" s="79">
        <v>9433</v>
      </c>
      <c r="EV93" s="79">
        <v>9297</v>
      </c>
      <c r="EW93" s="79">
        <v>9202</v>
      </c>
      <c r="EX93" s="79">
        <v>9061</v>
      </c>
      <c r="EY93" s="79">
        <v>8706</v>
      </c>
      <c r="EZ93" s="79">
        <v>8905</v>
      </c>
      <c r="FA93" s="79">
        <v>8932</v>
      </c>
      <c r="FB93" s="79">
        <v>9297</v>
      </c>
      <c r="FC93" s="79">
        <v>9223</v>
      </c>
      <c r="FD93" s="310">
        <v>8585</v>
      </c>
      <c r="FE93" s="95">
        <v>8107</v>
      </c>
      <c r="FF93" s="95">
        <v>7597</v>
      </c>
      <c r="FG93" s="95">
        <v>7658</v>
      </c>
      <c r="FH93" s="95">
        <v>7639</v>
      </c>
      <c r="FI93" s="95">
        <v>7782</v>
      </c>
      <c r="FJ93" s="95">
        <v>7729</v>
      </c>
      <c r="FK93" s="95">
        <v>7758</v>
      </c>
      <c r="FL93" s="95">
        <v>7676</v>
      </c>
      <c r="FM93" s="95">
        <v>7674</v>
      </c>
      <c r="FN93" s="95">
        <v>7580</v>
      </c>
      <c r="FO93" s="311">
        <v>7600</v>
      </c>
      <c r="FP93" s="316">
        <v>7646</v>
      </c>
      <c r="FQ93" s="317">
        <v>8026</v>
      </c>
      <c r="FR93" s="317">
        <v>7874</v>
      </c>
      <c r="FS93" s="317">
        <v>7740</v>
      </c>
      <c r="FT93" s="317">
        <v>8501</v>
      </c>
      <c r="FU93" s="317">
        <v>8750</v>
      </c>
      <c r="FV93" s="370">
        <v>8983</v>
      </c>
      <c r="FW93" s="326">
        <v>9943</v>
      </c>
      <c r="FX93" s="326">
        <v>10136</v>
      </c>
      <c r="FY93" s="326">
        <v>12817</v>
      </c>
      <c r="FZ93" s="326">
        <v>12681</v>
      </c>
      <c r="GA93" s="417">
        <v>12912</v>
      </c>
      <c r="GB93" s="434">
        <v>12792</v>
      </c>
      <c r="GC93" s="326">
        <v>12696</v>
      </c>
      <c r="GD93" s="417">
        <v>12514</v>
      </c>
      <c r="GE93" s="3"/>
      <c r="GF93" s="3"/>
      <c r="GG93" s="3"/>
      <c r="GH93" s="3"/>
      <c r="GI93" s="132"/>
    </row>
    <row r="94" spans="1:191" ht="15" customHeight="1">
      <c r="A94" s="6"/>
      <c r="B94" s="253"/>
      <c r="C94" s="86"/>
      <c r="D94" s="85"/>
      <c r="E94" s="85"/>
      <c r="F94" s="85"/>
      <c r="G94" s="85"/>
      <c r="H94" s="85"/>
      <c r="I94" s="85"/>
      <c r="J94" s="85"/>
      <c r="K94" s="85"/>
      <c r="L94" s="85"/>
      <c r="M94" s="85"/>
      <c r="N94" s="84"/>
      <c r="O94" s="85"/>
      <c r="P94" s="85"/>
      <c r="Q94" s="85"/>
      <c r="R94" s="85"/>
      <c r="S94" s="85"/>
      <c r="T94" s="85"/>
      <c r="U94" s="85"/>
      <c r="V94" s="85"/>
      <c r="W94" s="85"/>
      <c r="X94" s="85"/>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85"/>
      <c r="AW94" s="85"/>
      <c r="AX94" s="85"/>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25"/>
      <c r="CB94" s="78"/>
      <c r="CC94" s="25"/>
      <c r="CD94" s="25"/>
      <c r="CE94" s="25"/>
      <c r="CF94" s="79"/>
      <c r="CG94" s="79"/>
      <c r="CH94" s="79"/>
      <c r="CI94" s="79"/>
      <c r="CJ94" s="79"/>
      <c r="CK94" s="79"/>
      <c r="CL94" s="79"/>
      <c r="CM94" s="79"/>
      <c r="CN94" s="79"/>
      <c r="CO94" s="79"/>
      <c r="CP94" s="79"/>
      <c r="CQ94" s="79"/>
      <c r="CR94" s="79"/>
      <c r="CS94" s="79"/>
      <c r="CT94" s="79"/>
      <c r="CU94" s="79"/>
      <c r="CV94" s="79"/>
      <c r="CW94" s="79"/>
      <c r="CX94" s="79"/>
      <c r="CY94" s="79"/>
      <c r="CZ94" s="79"/>
      <c r="DA94" s="79"/>
      <c r="DB94" s="78"/>
      <c r="DC94" s="79"/>
      <c r="DD94" s="79"/>
      <c r="DE94" s="79"/>
      <c r="DF94" s="78"/>
      <c r="DG94" s="271"/>
      <c r="DH94" s="271"/>
      <c r="DI94" s="271"/>
      <c r="DJ94" s="271"/>
      <c r="DK94" s="81"/>
      <c r="DL94" s="81"/>
      <c r="DM94" s="81"/>
      <c r="DN94" s="81"/>
      <c r="DO94" s="81"/>
      <c r="DP94" s="81"/>
      <c r="DQ94" s="79"/>
      <c r="DR94" s="79"/>
      <c r="DS94" s="79"/>
      <c r="DT94" s="79"/>
      <c r="DU94" s="79"/>
      <c r="DV94" s="83"/>
      <c r="DW94" s="83"/>
      <c r="DX94" s="83"/>
      <c r="DY94" s="83"/>
      <c r="DZ94" s="83"/>
      <c r="EA94" s="83"/>
      <c r="EB94" s="83"/>
      <c r="EC94" s="83"/>
      <c r="ED94" s="83"/>
      <c r="EE94" s="83"/>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310"/>
      <c r="FE94" s="95"/>
      <c r="FF94" s="95"/>
      <c r="FG94" s="95"/>
      <c r="FH94" s="95"/>
      <c r="FI94" s="95"/>
      <c r="FJ94" s="95"/>
      <c r="FK94" s="95"/>
      <c r="FL94" s="95"/>
      <c r="FM94" s="95"/>
      <c r="FN94" s="95"/>
      <c r="FO94" s="95"/>
      <c r="FP94" s="316"/>
      <c r="FQ94" s="317"/>
      <c r="FR94" s="317"/>
      <c r="FS94" s="317"/>
      <c r="FT94" s="317"/>
      <c r="FU94" s="317"/>
      <c r="FV94" s="317"/>
      <c r="FW94" s="95"/>
      <c r="FX94" s="95"/>
      <c r="FY94" s="387"/>
      <c r="FZ94" s="387"/>
      <c r="GA94" s="379"/>
      <c r="GB94" s="93"/>
      <c r="GC94" s="49"/>
      <c r="GD94" s="379"/>
      <c r="GE94" s="3"/>
      <c r="GF94" s="3"/>
      <c r="GG94" s="3"/>
      <c r="GH94" s="3"/>
      <c r="GI94" s="132"/>
    </row>
    <row r="95" spans="1:191" ht="25.5">
      <c r="A95" s="6" t="s">
        <v>66</v>
      </c>
      <c r="B95" s="256" t="s">
        <v>57</v>
      </c>
      <c r="C95" s="85"/>
      <c r="D95" s="86"/>
      <c r="E95" s="86"/>
      <c r="F95" s="86"/>
      <c r="G95" s="86"/>
      <c r="H95" s="86"/>
      <c r="I95" s="86"/>
      <c r="J95" s="86"/>
      <c r="K95" s="86"/>
      <c r="L95" s="86"/>
      <c r="M95" s="86"/>
      <c r="N95" s="85"/>
      <c r="O95" s="85"/>
      <c r="P95" s="85"/>
      <c r="Q95" s="85"/>
      <c r="R95" s="85"/>
      <c r="S95" s="85"/>
      <c r="T95" s="85"/>
      <c r="U95" s="85"/>
      <c r="V95" s="85"/>
      <c r="W95" s="85"/>
      <c r="X95" s="85"/>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85"/>
      <c r="AX95" s="78"/>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176"/>
      <c r="CC95" s="81"/>
      <c r="CD95" s="81"/>
      <c r="CE95" s="81"/>
      <c r="CF95" s="79"/>
      <c r="CG95" s="79"/>
      <c r="CH95" s="79"/>
      <c r="CI95" s="79"/>
      <c r="CJ95" s="79"/>
      <c r="CK95" s="79"/>
      <c r="CL95" s="79"/>
      <c r="CM95" s="79"/>
      <c r="CN95" s="79"/>
      <c r="CO95" s="79"/>
      <c r="CP95" s="79"/>
      <c r="CQ95" s="79"/>
      <c r="CR95" s="79"/>
      <c r="CS95" s="79"/>
      <c r="CT95" s="79"/>
      <c r="CU95" s="79"/>
      <c r="CV95" s="79"/>
      <c r="CW95" s="79"/>
      <c r="CX95" s="79"/>
      <c r="CY95" s="79"/>
      <c r="CZ95" s="79"/>
      <c r="DA95" s="79"/>
      <c r="DB95" s="78"/>
      <c r="DC95" s="79"/>
      <c r="DD95" s="79"/>
      <c r="DE95" s="79"/>
      <c r="DF95" s="78"/>
      <c r="DG95" s="271"/>
      <c r="DH95" s="271"/>
      <c r="DI95" s="271"/>
      <c r="DJ95" s="271"/>
      <c r="DK95" s="81"/>
      <c r="DL95" s="81"/>
      <c r="DM95" s="81"/>
      <c r="DN95" s="81"/>
      <c r="DO95" s="81"/>
      <c r="DP95" s="81"/>
      <c r="DQ95" s="79"/>
      <c r="DR95" s="79"/>
      <c r="DS95" s="79"/>
      <c r="DT95" s="79"/>
      <c r="DU95" s="79"/>
      <c r="DV95" s="83"/>
      <c r="DW95" s="83"/>
      <c r="DX95" s="83"/>
      <c r="DY95" s="83"/>
      <c r="DZ95" s="83"/>
      <c r="EA95" s="83"/>
      <c r="EB95" s="83"/>
      <c r="EC95" s="83"/>
      <c r="ED95" s="83"/>
      <c r="EE95" s="83"/>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310"/>
      <c r="FE95" s="95"/>
      <c r="FF95" s="95"/>
      <c r="FG95" s="95"/>
      <c r="FH95" s="95"/>
      <c r="FI95" s="95"/>
      <c r="FJ95" s="95"/>
      <c r="FK95" s="95"/>
      <c r="FL95" s="95"/>
      <c r="FM95" s="95"/>
      <c r="FN95" s="95"/>
      <c r="FO95" s="95"/>
      <c r="FP95" s="316"/>
      <c r="FQ95" s="317"/>
      <c r="FR95" s="317"/>
      <c r="FS95" s="317"/>
      <c r="FT95" s="317"/>
      <c r="FU95" s="317"/>
      <c r="FV95" s="317"/>
      <c r="FW95" s="95"/>
      <c r="FX95" s="95"/>
      <c r="FY95" s="387"/>
      <c r="FZ95" s="387"/>
      <c r="GA95" s="132"/>
      <c r="GB95" s="117"/>
      <c r="GD95" s="379"/>
      <c r="GE95" s="3"/>
      <c r="GF95" s="3"/>
      <c r="GG95" s="3"/>
      <c r="GH95" s="3"/>
      <c r="GI95" s="132"/>
    </row>
    <row r="96" spans="1:191" ht="15" customHeight="1">
      <c r="A96" s="6"/>
      <c r="B96" s="93" t="s">
        <v>127</v>
      </c>
      <c r="C96" s="85"/>
      <c r="D96" s="86"/>
      <c r="E96" s="86"/>
      <c r="F96" s="86"/>
      <c r="G96" s="86"/>
      <c r="H96" s="86"/>
      <c r="I96" s="86"/>
      <c r="J96" s="86"/>
      <c r="K96" s="86"/>
      <c r="L96" s="86"/>
      <c r="M96" s="86"/>
      <c r="N96" s="85"/>
      <c r="O96" s="85">
        <v>1605</v>
      </c>
      <c r="P96" s="85">
        <v>1198</v>
      </c>
      <c r="Q96" s="85">
        <v>1575</v>
      </c>
      <c r="R96" s="85">
        <v>1762</v>
      </c>
      <c r="S96" s="85">
        <v>1442</v>
      </c>
      <c r="T96" s="85">
        <v>2345</v>
      </c>
      <c r="U96" s="85">
        <v>2752</v>
      </c>
      <c r="V96" s="85">
        <v>2920</v>
      </c>
      <c r="W96" s="85">
        <v>2912</v>
      </c>
      <c r="X96" s="85">
        <v>3018</v>
      </c>
      <c r="Y96" s="85">
        <v>2980</v>
      </c>
      <c r="Z96" s="85">
        <v>2976</v>
      </c>
      <c r="AA96" s="85">
        <v>2966</v>
      </c>
      <c r="AB96" s="85">
        <v>3067</v>
      </c>
      <c r="AC96" s="85">
        <v>3130</v>
      </c>
      <c r="AD96" s="85">
        <v>3251</v>
      </c>
      <c r="AE96" s="85">
        <v>3832</v>
      </c>
      <c r="AF96" s="85">
        <v>3787</v>
      </c>
      <c r="AG96" s="85">
        <v>3964</v>
      </c>
      <c r="AH96" s="85">
        <v>4085</v>
      </c>
      <c r="AI96" s="85">
        <v>3746</v>
      </c>
      <c r="AJ96" s="85">
        <v>4032</v>
      </c>
      <c r="AK96" s="85">
        <v>4175</v>
      </c>
      <c r="AL96" s="85">
        <v>4405</v>
      </c>
      <c r="AM96" s="85">
        <v>4078</v>
      </c>
      <c r="AN96" s="85">
        <v>4264</v>
      </c>
      <c r="AO96" s="85">
        <v>4468</v>
      </c>
      <c r="AP96" s="85">
        <v>4935</v>
      </c>
      <c r="AQ96" s="85">
        <v>5020</v>
      </c>
      <c r="AR96" s="85">
        <v>4727</v>
      </c>
      <c r="AS96" s="85">
        <v>4985</v>
      </c>
      <c r="AT96" s="85">
        <v>5109</v>
      </c>
      <c r="AU96" s="85">
        <v>5401</v>
      </c>
      <c r="AV96" s="85">
        <v>11827</v>
      </c>
      <c r="AW96" s="85">
        <v>12435</v>
      </c>
      <c r="AX96" s="85">
        <v>11581</v>
      </c>
      <c r="AY96" s="79">
        <v>12084</v>
      </c>
      <c r="AZ96" s="79">
        <v>12393</v>
      </c>
      <c r="BA96" s="79">
        <v>15014</v>
      </c>
      <c r="BB96" s="79">
        <v>15577</v>
      </c>
      <c r="BC96" s="79">
        <v>14293</v>
      </c>
      <c r="BD96" s="79">
        <v>14742</v>
      </c>
      <c r="BE96" s="79">
        <v>16863</v>
      </c>
      <c r="BF96" s="79">
        <v>16615</v>
      </c>
      <c r="BG96" s="79">
        <v>18396</v>
      </c>
      <c r="BH96" s="79">
        <v>18522</v>
      </c>
      <c r="BI96" s="79">
        <v>18332</v>
      </c>
      <c r="BJ96" s="79">
        <v>18286</v>
      </c>
      <c r="BK96" s="79">
        <v>19994</v>
      </c>
      <c r="BL96" s="79">
        <v>19734</v>
      </c>
      <c r="BM96" s="79">
        <v>21009</v>
      </c>
      <c r="BN96" s="79">
        <v>9330</v>
      </c>
      <c r="BO96" s="79">
        <v>9284</v>
      </c>
      <c r="BP96" s="79">
        <v>8919</v>
      </c>
      <c r="BQ96" s="79">
        <v>8315</v>
      </c>
      <c r="BR96" s="79">
        <v>8764</v>
      </c>
      <c r="BS96" s="79">
        <v>8879</v>
      </c>
      <c r="BT96" s="79">
        <v>9113</v>
      </c>
      <c r="BU96" s="79">
        <v>8915</v>
      </c>
      <c r="BV96" s="79">
        <v>9353</v>
      </c>
      <c r="BW96" s="79">
        <v>9417</v>
      </c>
      <c r="BX96" s="79">
        <v>9341</v>
      </c>
      <c r="BY96" s="79">
        <v>9850</v>
      </c>
      <c r="BZ96" s="79">
        <v>9970</v>
      </c>
      <c r="CA96" s="79">
        <v>7901</v>
      </c>
      <c r="CB96" s="78">
        <v>8231</v>
      </c>
      <c r="CC96" s="79">
        <v>8301</v>
      </c>
      <c r="CD96" s="79">
        <v>8704</v>
      </c>
      <c r="CE96" s="79">
        <v>8870</v>
      </c>
      <c r="CF96" s="81">
        <v>6467</v>
      </c>
      <c r="CG96" s="81">
        <v>6686</v>
      </c>
      <c r="CH96" s="81">
        <v>6581</v>
      </c>
      <c r="CI96" s="79">
        <v>7155</v>
      </c>
      <c r="CJ96" s="79">
        <f>2149+4672</f>
        <v>6821</v>
      </c>
      <c r="CK96" s="79">
        <v>6909</v>
      </c>
      <c r="CL96" s="81">
        <v>6993</v>
      </c>
      <c r="CM96" s="81">
        <v>6733</v>
      </c>
      <c r="CN96" s="81">
        <v>7038</v>
      </c>
      <c r="CO96" s="81">
        <v>7189</v>
      </c>
      <c r="CP96" s="79">
        <v>7224</v>
      </c>
      <c r="CQ96" s="79">
        <v>7403</v>
      </c>
      <c r="CR96" s="79">
        <v>7297</v>
      </c>
      <c r="CS96" s="79">
        <v>7729</v>
      </c>
      <c r="CT96" s="79">
        <v>7786</v>
      </c>
      <c r="CU96" s="79">
        <v>7815</v>
      </c>
      <c r="CV96" s="79">
        <v>8395</v>
      </c>
      <c r="CW96" s="79">
        <v>8217</v>
      </c>
      <c r="CX96" s="79">
        <v>7772</v>
      </c>
      <c r="CY96" s="79">
        <v>7831</v>
      </c>
      <c r="CZ96" s="83">
        <v>8002</v>
      </c>
      <c r="DA96" s="79">
        <v>8696</v>
      </c>
      <c r="DB96" s="78">
        <v>8182</v>
      </c>
      <c r="DC96" s="79">
        <v>8133</v>
      </c>
      <c r="DD96" s="79">
        <v>8465</v>
      </c>
      <c r="DE96" s="79">
        <v>8400</v>
      </c>
      <c r="DF96" s="78">
        <v>8555</v>
      </c>
      <c r="DG96" s="271">
        <v>8624</v>
      </c>
      <c r="DH96" s="271">
        <v>9026</v>
      </c>
      <c r="DI96" s="271">
        <v>9085</v>
      </c>
      <c r="DJ96" s="271">
        <v>9305</v>
      </c>
      <c r="DK96" s="81">
        <v>9052</v>
      </c>
      <c r="DL96" s="81">
        <v>9073</v>
      </c>
      <c r="DM96" s="81">
        <v>9149</v>
      </c>
      <c r="DN96" s="81">
        <v>9942</v>
      </c>
      <c r="DO96" s="81">
        <v>9826</v>
      </c>
      <c r="DP96" s="81">
        <v>9655</v>
      </c>
      <c r="DQ96" s="79">
        <v>9764</v>
      </c>
      <c r="DR96" s="79">
        <v>9870</v>
      </c>
      <c r="DS96" s="79">
        <v>9627</v>
      </c>
      <c r="DT96" s="79">
        <v>9931</v>
      </c>
      <c r="DU96" s="79">
        <v>9762</v>
      </c>
      <c r="DV96" s="83">
        <v>9924</v>
      </c>
      <c r="DW96" s="83">
        <v>9910</v>
      </c>
      <c r="DX96" s="83">
        <v>9884</v>
      </c>
      <c r="DY96" s="83">
        <v>9731</v>
      </c>
      <c r="DZ96" s="83">
        <v>9408</v>
      </c>
      <c r="EA96" s="83">
        <v>9591</v>
      </c>
      <c r="EB96" s="83">
        <v>9840</v>
      </c>
      <c r="EC96" s="83">
        <v>10174</v>
      </c>
      <c r="ED96" s="83">
        <v>10418</v>
      </c>
      <c r="EE96" s="83">
        <v>10576</v>
      </c>
      <c r="EF96" s="79">
        <v>10512</v>
      </c>
      <c r="EG96" s="79">
        <v>10812</v>
      </c>
      <c r="EH96" s="79">
        <v>10098</v>
      </c>
      <c r="EI96" s="79">
        <v>9758</v>
      </c>
      <c r="EJ96" s="79">
        <v>9979</v>
      </c>
      <c r="EK96" s="79">
        <v>9869</v>
      </c>
      <c r="EL96" s="79">
        <v>9862</v>
      </c>
      <c r="EM96" s="79">
        <v>9824</v>
      </c>
      <c r="EN96" s="79">
        <v>9530</v>
      </c>
      <c r="EO96" s="79">
        <v>9587</v>
      </c>
      <c r="EP96" s="79">
        <v>9451</v>
      </c>
      <c r="EQ96" s="79">
        <v>9390</v>
      </c>
      <c r="ER96" s="79">
        <v>9314</v>
      </c>
      <c r="ES96" s="79">
        <v>9343</v>
      </c>
      <c r="ET96" s="79">
        <v>8613</v>
      </c>
      <c r="EU96" s="79">
        <v>8623</v>
      </c>
      <c r="EV96" s="79">
        <v>8684</v>
      </c>
      <c r="EW96" s="79">
        <v>8615</v>
      </c>
      <c r="EX96" s="79">
        <v>8503</v>
      </c>
      <c r="EY96" s="79">
        <v>8400</v>
      </c>
      <c r="EZ96" s="79">
        <v>8545</v>
      </c>
      <c r="FA96" s="79">
        <v>8744</v>
      </c>
      <c r="FB96" s="79">
        <v>8858</v>
      </c>
      <c r="FC96" s="79">
        <v>8708</v>
      </c>
      <c r="FD96" s="310">
        <v>8572</v>
      </c>
      <c r="FE96" s="95">
        <v>8556</v>
      </c>
      <c r="FF96" s="95">
        <v>6179</v>
      </c>
      <c r="FG96" s="95">
        <v>6186</v>
      </c>
      <c r="FH96" s="95">
        <v>6227</v>
      </c>
      <c r="FI96" s="95">
        <v>6295</v>
      </c>
      <c r="FJ96" s="95">
        <v>6216</v>
      </c>
      <c r="FK96" s="95">
        <v>6177</v>
      </c>
      <c r="FL96" s="95">
        <v>6093</v>
      </c>
      <c r="FM96" s="95">
        <v>6320</v>
      </c>
      <c r="FN96" s="95">
        <v>6305</v>
      </c>
      <c r="FO96" s="95">
        <v>6505</v>
      </c>
      <c r="FP96" s="316">
        <v>6668</v>
      </c>
      <c r="FQ96" s="317">
        <v>6683</v>
      </c>
      <c r="FR96" s="317">
        <v>6667</v>
      </c>
      <c r="FS96" s="317">
        <v>6748</v>
      </c>
      <c r="FT96" s="317">
        <v>9409</v>
      </c>
      <c r="FU96" s="317">
        <v>8931</v>
      </c>
      <c r="FV96" s="370">
        <v>9057</v>
      </c>
      <c r="FW96" s="326">
        <v>9214</v>
      </c>
      <c r="FX96" s="326">
        <v>9489</v>
      </c>
      <c r="FY96" s="326">
        <v>10262</v>
      </c>
      <c r="FZ96" s="326">
        <v>10384</v>
      </c>
      <c r="GA96" s="417">
        <v>10410</v>
      </c>
      <c r="GB96" s="434">
        <v>10577</v>
      </c>
      <c r="GC96" s="326">
        <v>10517</v>
      </c>
      <c r="GD96" s="417">
        <v>10099</v>
      </c>
      <c r="GE96" s="3"/>
      <c r="GF96" s="3"/>
      <c r="GG96" s="3"/>
      <c r="GH96" s="3"/>
      <c r="GI96" s="132"/>
    </row>
    <row r="97" spans="1:191" ht="15" customHeight="1">
      <c r="A97" s="6"/>
      <c r="B97" s="257" t="s">
        <v>94</v>
      </c>
      <c r="C97" s="88"/>
      <c r="D97" s="89"/>
      <c r="E97" s="89"/>
      <c r="F97" s="89"/>
      <c r="G97" s="89"/>
      <c r="H97" s="89"/>
      <c r="I97" s="89"/>
      <c r="J97" s="89"/>
      <c r="K97" s="89"/>
      <c r="L97" s="89"/>
      <c r="M97" s="89"/>
      <c r="N97" s="88"/>
      <c r="O97" s="88">
        <v>3198</v>
      </c>
      <c r="P97" s="88">
        <v>3888</v>
      </c>
      <c r="Q97" s="88">
        <v>4257</v>
      </c>
      <c r="R97" s="88">
        <v>4135</v>
      </c>
      <c r="S97" s="88">
        <v>3383</v>
      </c>
      <c r="T97" s="88">
        <v>3290</v>
      </c>
      <c r="U97" s="88">
        <v>3157</v>
      </c>
      <c r="V97" s="88">
        <v>3845</v>
      </c>
      <c r="W97" s="88">
        <v>1965</v>
      </c>
      <c r="X97" s="88">
        <v>1970</v>
      </c>
      <c r="Y97" s="88">
        <v>1981</v>
      </c>
      <c r="Z97" s="88">
        <v>1753</v>
      </c>
      <c r="AA97" s="88">
        <v>2077</v>
      </c>
      <c r="AB97" s="88">
        <v>2040</v>
      </c>
      <c r="AC97" s="88">
        <v>1625</v>
      </c>
      <c r="AD97" s="88">
        <v>1628</v>
      </c>
      <c r="AE97" s="88">
        <v>1243</v>
      </c>
      <c r="AF97" s="88">
        <v>1921</v>
      </c>
      <c r="AG97" s="88">
        <v>2216</v>
      </c>
      <c r="AH97" s="88">
        <v>2224</v>
      </c>
      <c r="AI97" s="88">
        <v>3187</v>
      </c>
      <c r="AJ97" s="88">
        <v>2992</v>
      </c>
      <c r="AK97" s="88">
        <v>2466</v>
      </c>
      <c r="AL97" s="88">
        <v>2550</v>
      </c>
      <c r="AM97" s="88">
        <v>3265</v>
      </c>
      <c r="AN97" s="88">
        <v>1299</v>
      </c>
      <c r="AO97" s="88">
        <v>47</v>
      </c>
      <c r="AP97" s="88">
        <v>-401</v>
      </c>
      <c r="AQ97" s="88">
        <v>911</v>
      </c>
      <c r="AR97" s="88">
        <v>1156</v>
      </c>
      <c r="AS97" s="88">
        <v>1144</v>
      </c>
      <c r="AT97" s="88">
        <v>1849</v>
      </c>
      <c r="AU97" s="88">
        <v>1911</v>
      </c>
      <c r="AV97" s="88">
        <v>-2470</v>
      </c>
      <c r="AW97" s="88">
        <v>49</v>
      </c>
      <c r="AX97" s="88">
        <v>1032</v>
      </c>
      <c r="AY97" s="177">
        <v>2820</v>
      </c>
      <c r="AZ97" s="177">
        <v>2072</v>
      </c>
      <c r="BA97" s="177">
        <v>1618</v>
      </c>
      <c r="BB97" s="177">
        <v>1931</v>
      </c>
      <c r="BC97" s="177">
        <v>1770</v>
      </c>
      <c r="BD97" s="177">
        <v>2008</v>
      </c>
      <c r="BE97" s="177">
        <v>2853</v>
      </c>
      <c r="BF97" s="177">
        <v>1579</v>
      </c>
      <c r="BG97" s="177">
        <v>2094</v>
      </c>
      <c r="BH97" s="177">
        <v>1832</v>
      </c>
      <c r="BI97" s="177">
        <v>1765</v>
      </c>
      <c r="BJ97" s="177">
        <v>2106</v>
      </c>
      <c r="BK97" s="177">
        <v>1790</v>
      </c>
      <c r="BL97" s="177">
        <v>2069</v>
      </c>
      <c r="BM97" s="177">
        <v>2043</v>
      </c>
      <c r="BN97" s="177">
        <v>13368</v>
      </c>
      <c r="BO97" s="177">
        <v>13163</v>
      </c>
      <c r="BP97" s="177">
        <v>13392</v>
      </c>
      <c r="BQ97" s="177">
        <v>13206</v>
      </c>
      <c r="BR97" s="177">
        <v>13462</v>
      </c>
      <c r="BS97" s="177">
        <v>13414</v>
      </c>
      <c r="BT97" s="177">
        <v>11360</v>
      </c>
      <c r="BU97" s="177">
        <v>12177</v>
      </c>
      <c r="BV97" s="177">
        <v>12868</v>
      </c>
      <c r="BW97" s="177">
        <v>12929</v>
      </c>
      <c r="BX97" s="177">
        <v>16758</v>
      </c>
      <c r="BY97" s="177">
        <v>16253</v>
      </c>
      <c r="BZ97" s="177">
        <v>15587</v>
      </c>
      <c r="CA97" s="177">
        <v>14606</v>
      </c>
      <c r="CB97" s="178">
        <v>15675</v>
      </c>
      <c r="CC97" s="177">
        <v>17896</v>
      </c>
      <c r="CD97" s="177">
        <v>17725</v>
      </c>
      <c r="CE97" s="177">
        <v>18469</v>
      </c>
      <c r="CF97" s="177">
        <v>22128</v>
      </c>
      <c r="CG97" s="177">
        <v>20497</v>
      </c>
      <c r="CH97" s="177">
        <v>22179</v>
      </c>
      <c r="CI97" s="177">
        <v>28401</v>
      </c>
      <c r="CJ97" s="177">
        <v>21993</v>
      </c>
      <c r="CK97" s="177">
        <v>20480</v>
      </c>
      <c r="CL97" s="177">
        <v>18556</v>
      </c>
      <c r="CM97" s="177">
        <v>22790</v>
      </c>
      <c r="CN97" s="177">
        <v>21500</v>
      </c>
      <c r="CO97" s="177">
        <v>21807</v>
      </c>
      <c r="CP97" s="177">
        <v>22836</v>
      </c>
      <c r="CQ97" s="177">
        <v>22570</v>
      </c>
      <c r="CR97" s="177">
        <v>22542</v>
      </c>
      <c r="CS97" s="177">
        <v>23518</v>
      </c>
      <c r="CT97" s="177">
        <v>24280</v>
      </c>
      <c r="CU97" s="177">
        <v>24025</v>
      </c>
      <c r="CV97" s="177">
        <v>20396</v>
      </c>
      <c r="CW97" s="177">
        <v>20554</v>
      </c>
      <c r="CX97" s="177">
        <v>20632</v>
      </c>
      <c r="CY97" s="177">
        <v>23149</v>
      </c>
      <c r="CZ97" s="289">
        <v>22630</v>
      </c>
      <c r="DA97" s="177">
        <v>23107</v>
      </c>
      <c r="DB97" s="290">
        <v>22397</v>
      </c>
      <c r="DC97" s="177">
        <v>21603</v>
      </c>
      <c r="DD97" s="177">
        <v>20729</v>
      </c>
      <c r="DE97" s="177">
        <v>22400</v>
      </c>
      <c r="DF97" s="290">
        <v>22830</v>
      </c>
      <c r="DG97" s="178">
        <v>24518</v>
      </c>
      <c r="DH97" s="178">
        <v>23031</v>
      </c>
      <c r="DI97" s="178">
        <v>24938</v>
      </c>
      <c r="DJ97" s="178">
        <v>24990</v>
      </c>
      <c r="DK97" s="291">
        <v>26169</v>
      </c>
      <c r="DL97" s="291">
        <v>26979</v>
      </c>
      <c r="DM97" s="291">
        <v>27837</v>
      </c>
      <c r="DN97" s="291">
        <v>26553</v>
      </c>
      <c r="DO97" s="291">
        <v>27548</v>
      </c>
      <c r="DP97" s="291">
        <v>27990</v>
      </c>
      <c r="DQ97" s="177">
        <v>26916</v>
      </c>
      <c r="DR97" s="177">
        <v>27936</v>
      </c>
      <c r="DS97" s="177">
        <v>30901</v>
      </c>
      <c r="DT97" s="177">
        <v>29907</v>
      </c>
      <c r="DU97" s="177">
        <v>21148</v>
      </c>
      <c r="DV97" s="289">
        <v>26656</v>
      </c>
      <c r="DW97" s="289">
        <v>24491</v>
      </c>
      <c r="DX97" s="289">
        <v>23444</v>
      </c>
      <c r="DY97" s="289">
        <v>20745</v>
      </c>
      <c r="DZ97" s="289">
        <v>23827</v>
      </c>
      <c r="EA97" s="289">
        <v>17178</v>
      </c>
      <c r="EB97" s="289">
        <v>19057</v>
      </c>
      <c r="EC97" s="289">
        <v>18180</v>
      </c>
      <c r="ED97" s="289">
        <v>17770</v>
      </c>
      <c r="EE97" s="289">
        <v>17317</v>
      </c>
      <c r="EF97" s="177">
        <v>15294</v>
      </c>
      <c r="EG97" s="177">
        <v>13889</v>
      </c>
      <c r="EH97" s="177">
        <v>16534</v>
      </c>
      <c r="EI97" s="177">
        <v>15598</v>
      </c>
      <c r="EJ97" s="177">
        <v>15239</v>
      </c>
      <c r="EK97" s="177">
        <v>13521</v>
      </c>
      <c r="EL97" s="177">
        <v>12490</v>
      </c>
      <c r="EM97" s="177">
        <v>13445</v>
      </c>
      <c r="EN97" s="177">
        <v>14747</v>
      </c>
      <c r="EO97" s="177">
        <v>14184</v>
      </c>
      <c r="EP97" s="177">
        <v>14748</v>
      </c>
      <c r="EQ97" s="177">
        <v>13978</v>
      </c>
      <c r="ER97" s="177">
        <v>12784</v>
      </c>
      <c r="ES97" s="177">
        <v>12758</v>
      </c>
      <c r="ET97" s="177">
        <v>13559</v>
      </c>
      <c r="EU97" s="177">
        <v>13465</v>
      </c>
      <c r="EV97" s="177">
        <v>13209</v>
      </c>
      <c r="EW97" s="177">
        <v>13262</v>
      </c>
      <c r="EX97" s="177">
        <v>13650</v>
      </c>
      <c r="EY97" s="177">
        <v>11775</v>
      </c>
      <c r="EZ97" s="177">
        <v>11870</v>
      </c>
      <c r="FA97" s="177">
        <v>11950</v>
      </c>
      <c r="FB97" s="177">
        <v>11564</v>
      </c>
      <c r="FC97" s="177">
        <v>12698</v>
      </c>
      <c r="FD97" s="365">
        <v>11924</v>
      </c>
      <c r="FE97" s="366">
        <v>11295</v>
      </c>
      <c r="FF97" s="366">
        <v>13653</v>
      </c>
      <c r="FG97" s="366">
        <v>9787</v>
      </c>
      <c r="FH97" s="366">
        <v>11176</v>
      </c>
      <c r="FI97" s="366">
        <v>10615</v>
      </c>
      <c r="FJ97" s="366">
        <v>9751</v>
      </c>
      <c r="FK97" s="366">
        <v>9794</v>
      </c>
      <c r="FL97" s="366">
        <v>10829</v>
      </c>
      <c r="FM97" s="366">
        <v>9559</v>
      </c>
      <c r="FN97" s="366">
        <v>10307</v>
      </c>
      <c r="FO97" s="367">
        <v>13570</v>
      </c>
      <c r="FP97" s="365">
        <v>12437</v>
      </c>
      <c r="FQ97" s="366">
        <v>12606</v>
      </c>
      <c r="FR97" s="366">
        <v>12799</v>
      </c>
      <c r="FS97" s="366">
        <v>12370</v>
      </c>
      <c r="FT97" s="366">
        <v>10892</v>
      </c>
      <c r="FU97" s="366">
        <v>10987</v>
      </c>
      <c r="FV97" s="327">
        <v>12685</v>
      </c>
      <c r="FW97" s="327">
        <v>14209</v>
      </c>
      <c r="FX97" s="327">
        <v>14662</v>
      </c>
      <c r="FY97" s="327">
        <v>12301</v>
      </c>
      <c r="FZ97" s="327">
        <v>14141</v>
      </c>
      <c r="GA97" s="418">
        <v>14301</v>
      </c>
      <c r="GB97" s="435">
        <v>14275</v>
      </c>
      <c r="GC97" s="327">
        <v>14427</v>
      </c>
      <c r="GD97" s="418">
        <v>14612</v>
      </c>
      <c r="GE97" s="111"/>
      <c r="GF97" s="111"/>
      <c r="GG97" s="111"/>
      <c r="GH97" s="111"/>
      <c r="GI97" s="380"/>
    </row>
    <row r="98" spans="1:186" ht="25.5" customHeight="1">
      <c r="A98" s="14"/>
      <c r="B98" s="20" t="s">
        <v>108</v>
      </c>
      <c r="C98" s="126"/>
      <c r="D98" s="15"/>
      <c r="E98" s="1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8"/>
      <c r="AO98" s="8"/>
      <c r="AP98" s="8"/>
      <c r="AQ98" s="8"/>
      <c r="AR98" s="7"/>
      <c r="AS98" s="179"/>
      <c r="AT98" s="180"/>
      <c r="AU98" s="180"/>
      <c r="AV98" s="180"/>
      <c r="AW98" s="181"/>
      <c r="AX98" s="7"/>
      <c r="AY98" s="7"/>
      <c r="AZ98" s="180"/>
      <c r="BA98" s="180"/>
      <c r="BB98" s="7"/>
      <c r="BC98" s="7"/>
      <c r="BD98" s="7"/>
      <c r="BE98" s="180"/>
      <c r="BF98" s="180"/>
      <c r="BG98" s="180"/>
      <c r="BH98" s="180"/>
      <c r="BI98" s="7"/>
      <c r="BJ98" s="7"/>
      <c r="BK98" s="7"/>
      <c r="BL98" s="7"/>
      <c r="BM98" s="180"/>
      <c r="BN98" s="180"/>
      <c r="BO98" s="180"/>
      <c r="BP98" s="180"/>
      <c r="BQ98" s="180"/>
      <c r="BR98" s="180"/>
      <c r="BS98" s="180"/>
      <c r="BT98" s="180"/>
      <c r="BU98" s="180"/>
      <c r="BV98" s="180"/>
      <c r="BW98" s="180"/>
      <c r="BX98" s="180"/>
      <c r="BY98" s="180"/>
      <c r="BZ98" s="180"/>
      <c r="CA98" s="180"/>
      <c r="CB98" s="180"/>
      <c r="CC98" s="180"/>
      <c r="CD98" s="180"/>
      <c r="CE98" s="180"/>
      <c r="CF98" s="95"/>
      <c r="CG98" s="95"/>
      <c r="CH98" s="95"/>
      <c r="CI98" s="95"/>
      <c r="CJ98" s="95"/>
      <c r="CK98" s="95"/>
      <c r="CL98" s="95"/>
      <c r="CM98" s="95"/>
      <c r="CN98" s="95"/>
      <c r="CO98" s="95"/>
      <c r="CP98" s="95"/>
      <c r="CQ98" s="95"/>
      <c r="CR98" s="182"/>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5"/>
      <c r="FK98" s="95"/>
      <c r="FL98" s="95"/>
      <c r="FM98" s="95"/>
      <c r="FN98" s="95"/>
      <c r="FO98" s="95"/>
      <c r="FP98" s="95"/>
      <c r="FQ98" s="95"/>
      <c r="FR98" s="95"/>
      <c r="FS98" s="95"/>
      <c r="FT98" s="95"/>
      <c r="FU98" s="95"/>
      <c r="FV98" s="95"/>
      <c r="FW98" s="95"/>
      <c r="FX98" s="95"/>
      <c r="FY98" s="95"/>
      <c r="FZ98" s="95"/>
      <c r="GA98" s="95"/>
      <c r="GB98" s="95"/>
      <c r="GC98" s="95"/>
      <c r="GD98" s="95"/>
    </row>
    <row r="99" spans="1:186" ht="55.5" customHeight="1">
      <c r="A99" s="14"/>
      <c r="B99" s="228" t="s">
        <v>133</v>
      </c>
      <c r="AN99" s="8"/>
      <c r="AO99" s="8"/>
      <c r="AP99" s="8"/>
      <c r="AQ99" s="8"/>
      <c r="AR99" s="7"/>
      <c r="AS99" s="7"/>
      <c r="AT99" s="7"/>
      <c r="AU99" s="7"/>
      <c r="AV99" s="7"/>
      <c r="AW99" s="48"/>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95"/>
      <c r="EA99" s="95"/>
      <c r="EB99" s="95"/>
      <c r="EC99" s="95"/>
      <c r="ED99" s="95"/>
      <c r="EE99" s="134"/>
      <c r="EF99" s="134"/>
      <c r="EG99" s="134"/>
      <c r="EH99" s="134"/>
      <c r="EI99" s="134"/>
      <c r="EJ99" s="134"/>
      <c r="EK99" s="134"/>
      <c r="EL99" s="134"/>
      <c r="EM99" s="134"/>
      <c r="EN99" s="134"/>
      <c r="EO99" s="134"/>
      <c r="EP99" s="134"/>
      <c r="EQ99" s="134"/>
      <c r="ER99" s="134"/>
      <c r="ES99" s="134"/>
      <c r="ET99" s="134"/>
      <c r="EU99" s="134"/>
      <c r="EV99" s="134"/>
      <c r="EW99" s="134"/>
      <c r="EX99" s="134"/>
      <c r="EY99" s="134"/>
      <c r="EZ99" s="134"/>
      <c r="FA99" s="134"/>
      <c r="FB99" s="134"/>
      <c r="FC99" s="134"/>
      <c r="FD99" s="134"/>
      <c r="FE99" s="134"/>
      <c r="FF99" s="134"/>
      <c r="FG99" s="134"/>
      <c r="FH99" s="134"/>
      <c r="FI99" s="134"/>
      <c r="FJ99" s="134"/>
      <c r="FK99" s="134"/>
      <c r="FL99" s="134"/>
      <c r="FM99" s="134"/>
      <c r="FN99" s="134"/>
      <c r="FO99" s="134"/>
      <c r="FP99" s="134"/>
      <c r="FQ99" s="134"/>
      <c r="FR99" s="134"/>
      <c r="FS99" s="134"/>
      <c r="FT99" s="134"/>
      <c r="FU99" s="134"/>
      <c r="FV99" s="134"/>
      <c r="FW99" s="134"/>
      <c r="FX99" s="134"/>
      <c r="FY99" s="134"/>
      <c r="FZ99" s="134"/>
      <c r="GA99" s="134"/>
      <c r="GB99" s="134"/>
      <c r="GC99" s="134"/>
      <c r="GD99" s="134"/>
    </row>
    <row r="100" spans="1:186" ht="15.75" customHeight="1">
      <c r="A100" s="3"/>
      <c r="B100" s="227" t="s">
        <v>128</v>
      </c>
      <c r="AN100" s="183"/>
      <c r="AO100" s="183"/>
      <c r="AP100" s="183"/>
      <c r="AQ100" s="183"/>
      <c r="AR100" s="183"/>
      <c r="AS100" s="183"/>
      <c r="AT100" s="183"/>
      <c r="AU100" s="183"/>
      <c r="AV100" s="183"/>
      <c r="AW100" s="184"/>
      <c r="AX100" s="183"/>
      <c r="AY100" s="183"/>
      <c r="AZ100" s="183"/>
      <c r="BA100" s="183"/>
      <c r="BB100" s="183"/>
      <c r="BC100" s="183"/>
      <c r="BD100" s="183"/>
      <c r="BE100" s="3"/>
      <c r="BF100" s="3"/>
      <c r="BG100" s="3"/>
      <c r="BH100" s="3"/>
      <c r="BI100" s="3"/>
      <c r="BJ100" s="3"/>
      <c r="BK100" s="3"/>
      <c r="BL100" s="3"/>
      <c r="BM100" s="3"/>
      <c r="BN100" s="3"/>
      <c r="BO100" s="3"/>
      <c r="BP100" s="3"/>
      <c r="BQ100" s="3"/>
      <c r="BR100" s="3"/>
      <c r="BS100" s="3"/>
      <c r="BT100" s="3"/>
      <c r="BU100" s="3"/>
      <c r="BV100" s="114"/>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134"/>
      <c r="DH100" s="49"/>
      <c r="DI100" s="49"/>
      <c r="DJ100" s="49"/>
      <c r="DK100" s="49"/>
      <c r="DL100" s="95"/>
      <c r="DM100" s="95"/>
      <c r="DN100" s="95"/>
      <c r="DO100" s="95"/>
      <c r="DP100" s="134"/>
      <c r="DQ100" s="95"/>
      <c r="DR100" s="95"/>
      <c r="DS100" s="95"/>
      <c r="DT100" s="95"/>
      <c r="DU100" s="95"/>
      <c r="DV100" s="95"/>
      <c r="DW100" s="95"/>
      <c r="DX100" s="95"/>
      <c r="DY100" s="95"/>
      <c r="DZ100" s="95"/>
      <c r="EA100" s="95"/>
      <c r="EB100" s="95"/>
      <c r="EC100" s="95"/>
      <c r="ED100" s="95"/>
      <c r="EE100" s="91"/>
      <c r="EF100" s="91"/>
      <c r="EG100" s="91"/>
      <c r="EH100" s="91"/>
      <c r="EI100" s="91"/>
      <c r="EJ100" s="91"/>
      <c r="EK100" s="91"/>
      <c r="EL100" s="91"/>
      <c r="EM100" s="91"/>
      <c r="EN100" s="91"/>
      <c r="EO100" s="91"/>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c r="FU100" s="91"/>
      <c r="FV100" s="91"/>
      <c r="FW100" s="91"/>
      <c r="FX100" s="91"/>
      <c r="FY100" s="91"/>
      <c r="FZ100" s="91"/>
      <c r="GA100" s="91"/>
      <c r="GB100" s="91"/>
      <c r="GC100" s="91"/>
      <c r="GD100" s="91"/>
    </row>
    <row r="101" spans="1:186" ht="81.75" customHeight="1">
      <c r="A101" s="3"/>
      <c r="B101" s="228" t="s">
        <v>129</v>
      </c>
      <c r="AN101" s="2"/>
      <c r="AO101" s="2"/>
      <c r="AP101" s="2"/>
      <c r="AQ101" s="2"/>
      <c r="AR101" s="3"/>
      <c r="AS101" s="3"/>
      <c r="AT101" s="3"/>
      <c r="AU101" s="3"/>
      <c r="AV101" s="3"/>
      <c r="AW101" s="49"/>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29"/>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91"/>
      <c r="DC101" s="3"/>
      <c r="DD101" s="3"/>
      <c r="DE101" s="3"/>
      <c r="DF101" s="3"/>
      <c r="DG101" s="3"/>
      <c r="DH101" s="3"/>
      <c r="DI101" s="3"/>
      <c r="DJ101" s="3"/>
      <c r="DK101" s="3"/>
      <c r="DL101" s="3"/>
      <c r="DM101" s="3"/>
      <c r="DN101" s="3"/>
      <c r="DU101" s="3"/>
      <c r="DV101" s="3"/>
      <c r="DW101" s="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3"/>
      <c r="EU101" s="123"/>
      <c r="EV101" s="123"/>
      <c r="EW101" s="123"/>
      <c r="EX101" s="123"/>
      <c r="EY101" s="123"/>
      <c r="EZ101" s="123"/>
      <c r="FA101" s="123"/>
      <c r="FB101" s="123"/>
      <c r="FC101" s="123"/>
      <c r="FD101" s="123"/>
      <c r="FE101" s="123"/>
      <c r="FF101" s="123"/>
      <c r="FG101" s="123"/>
      <c r="FH101" s="123"/>
      <c r="FI101" s="123"/>
      <c r="FJ101" s="123"/>
      <c r="FK101" s="95"/>
      <c r="FL101" s="123"/>
      <c r="FM101" s="123"/>
      <c r="FN101" s="123"/>
      <c r="FO101" s="123"/>
      <c r="FP101" s="123"/>
      <c r="FQ101" s="123"/>
      <c r="FR101" s="123"/>
      <c r="FS101" s="123"/>
      <c r="FT101" s="123"/>
      <c r="FU101" s="123"/>
      <c r="FV101" s="123"/>
      <c r="FW101" s="123"/>
      <c r="FX101" s="123"/>
      <c r="FY101" s="123"/>
      <c r="FZ101" s="123"/>
      <c r="GA101" s="123"/>
      <c r="GB101" s="123"/>
      <c r="GC101" s="123"/>
      <c r="GD101" s="123"/>
    </row>
    <row r="102" spans="1:172" ht="41.25" customHeight="1">
      <c r="A102" s="3"/>
      <c r="B102" s="228" t="s">
        <v>145</v>
      </c>
      <c r="AN102" s="2"/>
      <c r="AO102" s="2"/>
      <c r="AP102" s="2"/>
      <c r="AQ102" s="2"/>
      <c r="AR102" s="3"/>
      <c r="AS102" s="3"/>
      <c r="AT102" s="3"/>
      <c r="AU102" s="3"/>
      <c r="AV102" s="3"/>
      <c r="AW102" s="49"/>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U102" s="3"/>
      <c r="DV102" s="3"/>
      <c r="DW102" s="3"/>
      <c r="DX102" s="3"/>
      <c r="DY102" s="3"/>
      <c r="DZ102" s="3"/>
      <c r="EA102" s="3"/>
      <c r="EB102" s="3"/>
      <c r="ED102" s="3"/>
      <c r="EE102" s="3"/>
      <c r="FK102" s="95"/>
      <c r="FP102" s="3"/>
    </row>
    <row r="103" spans="1:172" ht="38.25">
      <c r="A103" s="3"/>
      <c r="B103" s="228" t="s">
        <v>138</v>
      </c>
      <c r="AN103" s="2"/>
      <c r="AO103" s="2"/>
      <c r="AP103" s="2"/>
      <c r="AQ103" s="2"/>
      <c r="AR103" s="3"/>
      <c r="AS103" s="3"/>
      <c r="AT103" s="3"/>
      <c r="AU103" s="3"/>
      <c r="AV103" s="3"/>
      <c r="AW103" s="49"/>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U103" s="3"/>
      <c r="DV103" s="3"/>
      <c r="DW103" s="3"/>
      <c r="DX103" s="3"/>
      <c r="DY103" s="3"/>
      <c r="DZ103" s="3"/>
      <c r="EA103" s="3"/>
      <c r="EB103" s="3"/>
      <c r="ED103" s="3"/>
      <c r="EE103" s="3"/>
      <c r="FK103" s="95"/>
      <c r="FP103" s="3"/>
    </row>
    <row r="104" spans="1:172" ht="51">
      <c r="A104" s="3"/>
      <c r="B104" s="228" t="s">
        <v>134</v>
      </c>
      <c r="AN104" s="2"/>
      <c r="AO104" s="2"/>
      <c r="AP104" s="2"/>
      <c r="AQ104" s="2"/>
      <c r="AR104" s="3"/>
      <c r="AS104" s="3"/>
      <c r="AT104" s="3"/>
      <c r="AU104" s="3"/>
      <c r="AV104" s="3"/>
      <c r="AW104" s="49"/>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U104" s="3"/>
      <c r="DV104" s="3"/>
      <c r="DW104" s="3"/>
      <c r="DX104" s="3"/>
      <c r="DY104" s="3"/>
      <c r="DZ104" s="3"/>
      <c r="EA104" s="3"/>
      <c r="EB104" s="3"/>
      <c r="ED104" s="3"/>
      <c r="EE104" s="3"/>
      <c r="FK104" s="95">
        <f>FD88+FD92</f>
        <v>0</v>
      </c>
      <c r="FP104" s="3"/>
    </row>
    <row r="105" spans="1:172" ht="25.5">
      <c r="A105" s="3"/>
      <c r="B105" s="228" t="s">
        <v>136</v>
      </c>
      <c r="AN105" s="2"/>
      <c r="AO105" s="2"/>
      <c r="AP105" s="2"/>
      <c r="AQ105" s="2"/>
      <c r="AR105" s="3"/>
      <c r="AS105" s="3"/>
      <c r="AT105" s="3"/>
      <c r="AU105" s="3"/>
      <c r="AV105" s="3"/>
      <c r="AW105" s="49"/>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U105" s="3"/>
      <c r="DV105" s="3"/>
      <c r="DW105" s="3"/>
      <c r="DX105" s="3"/>
      <c r="DY105" s="3"/>
      <c r="DZ105" s="3"/>
      <c r="EA105" s="3"/>
      <c r="EB105" s="3"/>
      <c r="ED105" s="3"/>
      <c r="EE105" s="3"/>
      <c r="FP105" s="3"/>
    </row>
    <row r="106" spans="1:172" ht="41.25" customHeight="1">
      <c r="A106" s="3"/>
      <c r="B106" s="228" t="s">
        <v>107</v>
      </c>
      <c r="AN106" s="2"/>
      <c r="AO106" s="2"/>
      <c r="AP106" s="2"/>
      <c r="AQ106" s="2"/>
      <c r="AR106" s="3"/>
      <c r="AS106" s="3"/>
      <c r="AT106" s="3"/>
      <c r="AU106" s="3"/>
      <c r="AV106" s="3"/>
      <c r="AW106" s="49"/>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U106" s="3"/>
      <c r="DV106" s="3"/>
      <c r="DW106" s="3"/>
      <c r="DX106" s="3"/>
      <c r="DY106" s="3"/>
      <c r="DZ106" s="3"/>
      <c r="EA106" s="3"/>
      <c r="EB106" s="3"/>
      <c r="ED106" s="3"/>
      <c r="EE106" s="3"/>
      <c r="FP106" s="3"/>
    </row>
    <row r="107" spans="1:172" ht="12.75">
      <c r="A107" s="3"/>
      <c r="B107" s="228" t="s">
        <v>137</v>
      </c>
      <c r="AN107" s="2"/>
      <c r="AO107" s="2"/>
      <c r="AP107" s="2"/>
      <c r="AQ107" s="2"/>
      <c r="AR107" s="3"/>
      <c r="AS107" s="3"/>
      <c r="AT107" s="3"/>
      <c r="AU107" s="3"/>
      <c r="AV107" s="3"/>
      <c r="AW107" s="49"/>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U107" s="3"/>
      <c r="DV107" s="3"/>
      <c r="DW107" s="3"/>
      <c r="DX107" s="3"/>
      <c r="DY107" s="3"/>
      <c r="DZ107" s="3"/>
      <c r="EA107" s="3"/>
      <c r="EB107" s="3"/>
      <c r="ED107" s="3"/>
      <c r="EE107" s="3"/>
      <c r="FP107" s="3"/>
    </row>
    <row r="108" spans="1:172" ht="25.5">
      <c r="A108" s="3"/>
      <c r="B108" s="228" t="s">
        <v>147</v>
      </c>
      <c r="AN108" s="2"/>
      <c r="AO108" s="2"/>
      <c r="AP108" s="2"/>
      <c r="AQ108" s="2"/>
      <c r="AR108" s="3"/>
      <c r="AS108" s="3"/>
      <c r="AT108" s="3"/>
      <c r="AU108" s="3"/>
      <c r="AV108" s="3"/>
      <c r="AW108" s="49"/>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U108" s="3"/>
      <c r="DV108" s="3"/>
      <c r="DW108" s="3"/>
      <c r="DX108" s="3"/>
      <c r="DY108" s="3"/>
      <c r="DZ108" s="3"/>
      <c r="EA108" s="3"/>
      <c r="EB108" s="3"/>
      <c r="ED108" s="3"/>
      <c r="EE108" s="3"/>
      <c r="FP108" s="3"/>
    </row>
    <row r="109" spans="1:172" ht="25.5">
      <c r="A109" s="3"/>
      <c r="B109" s="228" t="s">
        <v>149</v>
      </c>
      <c r="AN109" s="2"/>
      <c r="AO109" s="2"/>
      <c r="AP109" s="2"/>
      <c r="AQ109" s="2"/>
      <c r="AR109" s="3"/>
      <c r="AS109" s="3"/>
      <c r="AT109" s="3"/>
      <c r="AU109" s="3"/>
      <c r="AV109" s="3"/>
      <c r="AW109" s="49"/>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U109" s="3"/>
      <c r="DV109" s="3"/>
      <c r="DW109" s="3"/>
      <c r="DX109" s="3"/>
      <c r="DY109" s="3"/>
      <c r="DZ109" s="3"/>
      <c r="EA109" s="3"/>
      <c r="EB109" s="3"/>
      <c r="ED109" s="3"/>
      <c r="EE109" s="3"/>
      <c r="FP109" s="3"/>
    </row>
    <row r="110" spans="1:172" ht="12.75">
      <c r="A110" s="3"/>
      <c r="B110" s="228"/>
      <c r="AN110" s="2"/>
      <c r="AO110" s="2"/>
      <c r="AP110" s="2"/>
      <c r="AQ110" s="2"/>
      <c r="AR110" s="3"/>
      <c r="AS110" s="3"/>
      <c r="AT110" s="3"/>
      <c r="AU110" s="3"/>
      <c r="AV110" s="3"/>
      <c r="AW110" s="49"/>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U110" s="3"/>
      <c r="DV110" s="3"/>
      <c r="DW110" s="3"/>
      <c r="DX110" s="3"/>
      <c r="DY110" s="3"/>
      <c r="DZ110" s="3"/>
      <c r="EA110" s="3"/>
      <c r="EB110" s="3"/>
      <c r="ED110" s="3"/>
      <c r="EE110" s="3"/>
      <c r="FP110" s="3"/>
    </row>
    <row r="111" spans="1:172" ht="12.75">
      <c r="A111" s="3"/>
      <c r="B111" s="228"/>
      <c r="AN111" s="2"/>
      <c r="AO111" s="2"/>
      <c r="AP111" s="2"/>
      <c r="AQ111" s="2"/>
      <c r="AR111" s="3"/>
      <c r="AS111" s="3"/>
      <c r="AT111" s="3"/>
      <c r="AU111" s="3"/>
      <c r="AV111" s="3"/>
      <c r="AW111" s="49"/>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U111" s="3"/>
      <c r="DV111" s="3"/>
      <c r="DW111" s="3"/>
      <c r="DX111" s="3"/>
      <c r="DY111" s="3"/>
      <c r="DZ111" s="3"/>
      <c r="EA111" s="3"/>
      <c r="EB111" s="3"/>
      <c r="ED111" s="3"/>
      <c r="EE111" s="3"/>
      <c r="FP111" s="3"/>
    </row>
    <row r="112" spans="1:176" ht="15" customHeight="1">
      <c r="A112" s="3"/>
      <c r="B112" s="21" t="s">
        <v>75</v>
      </c>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2"/>
      <c r="AQ112" s="2"/>
      <c r="AR112" s="3"/>
      <c r="AS112" s="3"/>
      <c r="AT112" s="3"/>
      <c r="AU112" s="3"/>
      <c r="AV112" s="3"/>
      <c r="AW112" s="49"/>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U112" s="3"/>
      <c r="DV112" s="3"/>
      <c r="DW112" s="3"/>
      <c r="DX112" s="3"/>
      <c r="DY112" s="3"/>
      <c r="DZ112" s="3"/>
      <c r="EA112" s="3"/>
      <c r="EB112" s="3"/>
      <c r="ED112" s="3"/>
      <c r="EE112" s="3"/>
      <c r="FP112" s="3"/>
      <c r="FT112" s="111"/>
    </row>
    <row r="113" spans="1:186" ht="18.75" customHeight="1">
      <c r="A113" s="3"/>
      <c r="B113" s="147" t="s">
        <v>62</v>
      </c>
      <c r="C113" s="52">
        <v>2003</v>
      </c>
      <c r="D113" s="52"/>
      <c r="E113" s="52"/>
      <c r="F113" s="52"/>
      <c r="G113" s="52"/>
      <c r="H113" s="52"/>
      <c r="I113" s="52"/>
      <c r="J113" s="52"/>
      <c r="K113" s="52"/>
      <c r="L113" s="52"/>
      <c r="M113" s="52"/>
      <c r="N113" s="52"/>
      <c r="O113" s="52">
        <v>2004</v>
      </c>
      <c r="P113" s="52"/>
      <c r="Q113" s="52"/>
      <c r="R113" s="52"/>
      <c r="S113" s="52"/>
      <c r="T113" s="52"/>
      <c r="U113" s="52"/>
      <c r="V113" s="52"/>
      <c r="W113" s="52"/>
      <c r="X113" s="52"/>
      <c r="Y113" s="52"/>
      <c r="Z113" s="52"/>
      <c r="AA113" s="52">
        <v>2005</v>
      </c>
      <c r="AB113" s="52"/>
      <c r="AC113" s="52"/>
      <c r="AD113" s="52"/>
      <c r="AE113" s="52"/>
      <c r="AF113" s="52"/>
      <c r="AG113" s="52"/>
      <c r="AH113" s="52"/>
      <c r="AI113" s="52"/>
      <c r="AJ113" s="52"/>
      <c r="AK113" s="52"/>
      <c r="AL113" s="52"/>
      <c r="AM113" s="53">
        <v>2006</v>
      </c>
      <c r="AN113" s="462">
        <v>2007</v>
      </c>
      <c r="AO113" s="463"/>
      <c r="AP113" s="463"/>
      <c r="AQ113" s="463"/>
      <c r="AR113" s="463"/>
      <c r="AS113" s="463"/>
      <c r="AT113" s="463"/>
      <c r="AU113" s="463"/>
      <c r="AV113" s="463"/>
      <c r="AW113" s="463"/>
      <c r="AX113" s="463"/>
      <c r="AY113" s="464"/>
      <c r="AZ113" s="448">
        <v>2008</v>
      </c>
      <c r="BA113" s="443"/>
      <c r="BB113" s="443"/>
      <c r="BC113" s="443"/>
      <c r="BD113" s="443"/>
      <c r="BE113" s="443"/>
      <c r="BF113" s="443"/>
      <c r="BG113" s="443"/>
      <c r="BH113" s="443"/>
      <c r="BI113" s="443"/>
      <c r="BJ113" s="443"/>
      <c r="BK113" s="444"/>
      <c r="BL113" s="442">
        <v>2009</v>
      </c>
      <c r="BM113" s="443"/>
      <c r="BN113" s="443"/>
      <c r="BO113" s="443"/>
      <c r="BP113" s="443"/>
      <c r="BQ113" s="443"/>
      <c r="BR113" s="443"/>
      <c r="BS113" s="443"/>
      <c r="BT113" s="443"/>
      <c r="BU113" s="443"/>
      <c r="BV113" s="443"/>
      <c r="BW113" s="444"/>
      <c r="BX113" s="185">
        <v>2010</v>
      </c>
      <c r="BY113" s="4"/>
      <c r="BZ113" s="4"/>
      <c r="CA113" s="4"/>
      <c r="CB113" s="4"/>
      <c r="CC113" s="4"/>
      <c r="CD113" s="4"/>
      <c r="CE113" s="4"/>
      <c r="CF113" s="4"/>
      <c r="CG113" s="4"/>
      <c r="CH113" s="4"/>
      <c r="CI113" s="381"/>
      <c r="CJ113" s="442">
        <v>2011</v>
      </c>
      <c r="CK113" s="443"/>
      <c r="CL113" s="443"/>
      <c r="CM113" s="443"/>
      <c r="CN113" s="443"/>
      <c r="CO113" s="443"/>
      <c r="CP113" s="443"/>
      <c r="CQ113" s="443"/>
      <c r="CR113" s="443"/>
      <c r="CS113" s="443"/>
      <c r="CT113" s="443"/>
      <c r="CU113" s="444"/>
      <c r="CV113" s="457">
        <v>2012</v>
      </c>
      <c r="CW113" s="457"/>
      <c r="CX113" s="457"/>
      <c r="CY113" s="457"/>
      <c r="CZ113" s="457"/>
      <c r="DA113" s="457"/>
      <c r="DB113" s="457"/>
      <c r="DC113" s="457"/>
      <c r="DD113" s="457"/>
      <c r="DE113" s="457"/>
      <c r="DF113" s="457"/>
      <c r="DG113" s="458"/>
      <c r="DH113" s="455">
        <v>2013</v>
      </c>
      <c r="DI113" s="455"/>
      <c r="DJ113" s="455"/>
      <c r="DK113" s="455"/>
      <c r="DL113" s="455"/>
      <c r="DM113" s="455"/>
      <c r="DN113" s="455"/>
      <c r="DO113" s="455"/>
      <c r="DP113" s="455"/>
      <c r="DQ113" s="455"/>
      <c r="DR113" s="455"/>
      <c r="DS113" s="455"/>
      <c r="DT113" s="23">
        <v>2014</v>
      </c>
      <c r="DU113" s="23"/>
      <c r="DV113" s="23"/>
      <c r="DW113" s="23"/>
      <c r="DX113" s="23"/>
      <c r="DY113" s="23"/>
      <c r="DZ113" s="23"/>
      <c r="EA113" s="23"/>
      <c r="EB113" s="23"/>
      <c r="EC113" s="23"/>
      <c r="ED113" s="23"/>
      <c r="EE113" s="23"/>
      <c r="EF113" s="455">
        <v>2015</v>
      </c>
      <c r="EG113" s="455"/>
      <c r="EH113" s="455"/>
      <c r="EI113" s="455"/>
      <c r="EJ113" s="455"/>
      <c r="EK113" s="455"/>
      <c r="EL113" s="455"/>
      <c r="EM113" s="455"/>
      <c r="EN113" s="455"/>
      <c r="EO113" s="455"/>
      <c r="EP113" s="455"/>
      <c r="EQ113" s="455"/>
      <c r="ER113" s="456">
        <v>2016</v>
      </c>
      <c r="ES113" s="457"/>
      <c r="ET113" s="457"/>
      <c r="EU113" s="457"/>
      <c r="EV113" s="457"/>
      <c r="EW113" s="457"/>
      <c r="EX113" s="457"/>
      <c r="EY113" s="457"/>
      <c r="EZ113" s="457"/>
      <c r="FA113" s="457"/>
      <c r="FB113" s="457"/>
      <c r="FC113" s="458"/>
      <c r="FD113" s="448">
        <v>2017</v>
      </c>
      <c r="FE113" s="443"/>
      <c r="FF113" s="443"/>
      <c r="FG113" s="443"/>
      <c r="FH113" s="443"/>
      <c r="FI113" s="443"/>
      <c r="FJ113" s="443"/>
      <c r="FK113" s="443"/>
      <c r="FL113" s="443"/>
      <c r="FM113" s="443"/>
      <c r="FN113" s="443"/>
      <c r="FO113" s="449"/>
      <c r="FP113" s="459">
        <v>2018</v>
      </c>
      <c r="FQ113" s="460"/>
      <c r="FR113" s="460"/>
      <c r="FS113" s="460"/>
      <c r="FT113" s="460"/>
      <c r="FU113" s="460"/>
      <c r="FV113" s="460"/>
      <c r="FW113" s="460"/>
      <c r="FX113" s="460"/>
      <c r="FY113" s="460"/>
      <c r="FZ113" s="460"/>
      <c r="GA113" s="461"/>
      <c r="GB113" s="459">
        <v>2019</v>
      </c>
      <c r="GC113" s="460"/>
      <c r="GD113" s="461"/>
    </row>
    <row r="114" spans="1:186" s="8" customFormat="1" ht="15" customHeight="1">
      <c r="A114" s="7"/>
      <c r="B114" s="54"/>
      <c r="C114" s="16" t="s">
        <v>12</v>
      </c>
      <c r="D114" s="40" t="s">
        <v>0</v>
      </c>
      <c r="E114" s="23" t="s">
        <v>1</v>
      </c>
      <c r="F114" s="24" t="s">
        <v>2</v>
      </c>
      <c r="G114" s="24" t="s">
        <v>3</v>
      </c>
      <c r="H114" s="24" t="s">
        <v>4</v>
      </c>
      <c r="I114" s="24" t="s">
        <v>5</v>
      </c>
      <c r="J114" s="24" t="s">
        <v>10</v>
      </c>
      <c r="K114" s="24" t="s">
        <v>11</v>
      </c>
      <c r="L114" s="24" t="s">
        <v>18</v>
      </c>
      <c r="M114" s="24" t="s">
        <v>26</v>
      </c>
      <c r="N114" s="24" t="s">
        <v>27</v>
      </c>
      <c r="O114" s="41" t="s">
        <v>12</v>
      </c>
      <c r="P114" s="42" t="s">
        <v>0</v>
      </c>
      <c r="Q114" s="43" t="s">
        <v>30</v>
      </c>
      <c r="R114" s="43" t="s">
        <v>2</v>
      </c>
      <c r="S114" s="24" t="s">
        <v>3</v>
      </c>
      <c r="T114" s="24" t="s">
        <v>4</v>
      </c>
      <c r="U114" s="24" t="s">
        <v>5</v>
      </c>
      <c r="V114" s="24" t="s">
        <v>10</v>
      </c>
      <c r="W114" s="24" t="s">
        <v>31</v>
      </c>
      <c r="X114" s="24" t="s">
        <v>18</v>
      </c>
      <c r="Y114" s="24" t="s">
        <v>26</v>
      </c>
      <c r="Z114" s="24" t="s">
        <v>27</v>
      </c>
      <c r="AA114" s="41" t="s">
        <v>12</v>
      </c>
      <c r="AB114" s="45" t="s">
        <v>0</v>
      </c>
      <c r="AC114" s="24" t="s">
        <v>30</v>
      </c>
      <c r="AD114" s="24" t="s">
        <v>2</v>
      </c>
      <c r="AE114" s="24" t="s">
        <v>3</v>
      </c>
      <c r="AF114" s="24" t="s">
        <v>4</v>
      </c>
      <c r="AG114" s="24" t="s">
        <v>5</v>
      </c>
      <c r="AH114" s="24" t="s">
        <v>10</v>
      </c>
      <c r="AI114" s="24" t="s">
        <v>11</v>
      </c>
      <c r="AJ114" s="24" t="s">
        <v>18</v>
      </c>
      <c r="AK114" s="24" t="s">
        <v>26</v>
      </c>
      <c r="AL114" s="23" t="s">
        <v>27</v>
      </c>
      <c r="AM114" s="46" t="s">
        <v>12</v>
      </c>
      <c r="AN114" s="40" t="s">
        <v>0</v>
      </c>
      <c r="AO114" s="23" t="s">
        <v>30</v>
      </c>
      <c r="AP114" s="23" t="s">
        <v>73</v>
      </c>
      <c r="AQ114" s="23" t="s">
        <v>76</v>
      </c>
      <c r="AR114" s="23" t="s">
        <v>4</v>
      </c>
      <c r="AS114" s="23" t="s">
        <v>5</v>
      </c>
      <c r="AT114" s="23" t="s">
        <v>10</v>
      </c>
      <c r="AU114" s="23" t="s">
        <v>31</v>
      </c>
      <c r="AV114" s="23" t="s">
        <v>79</v>
      </c>
      <c r="AW114" s="51" t="s">
        <v>26</v>
      </c>
      <c r="AX114" s="23" t="s">
        <v>27</v>
      </c>
      <c r="AY114" s="46" t="s">
        <v>12</v>
      </c>
      <c r="AZ114" s="40" t="s">
        <v>0</v>
      </c>
      <c r="BA114" s="23" t="s">
        <v>30</v>
      </c>
      <c r="BB114" s="23" t="s">
        <v>73</v>
      </c>
      <c r="BC114" s="23" t="s">
        <v>76</v>
      </c>
      <c r="BD114" s="23" t="s">
        <v>4</v>
      </c>
      <c r="BE114" s="23" t="s">
        <v>91</v>
      </c>
      <c r="BF114" s="23" t="s">
        <v>92</v>
      </c>
      <c r="BG114" s="23" t="s">
        <v>93</v>
      </c>
      <c r="BH114" s="23" t="s">
        <v>95</v>
      </c>
      <c r="BI114" s="4" t="s">
        <v>96</v>
      </c>
      <c r="BJ114" s="22" t="s">
        <v>98</v>
      </c>
      <c r="BK114" s="46" t="s">
        <v>99</v>
      </c>
      <c r="BL114" s="40" t="s">
        <v>100</v>
      </c>
      <c r="BM114" s="23" t="s">
        <v>1</v>
      </c>
      <c r="BN114" s="22" t="s">
        <v>104</v>
      </c>
      <c r="BO114" s="22" t="s">
        <v>105</v>
      </c>
      <c r="BP114" s="22" t="s">
        <v>4</v>
      </c>
      <c r="BQ114" s="22" t="s">
        <v>91</v>
      </c>
      <c r="BR114" s="22" t="s">
        <v>92</v>
      </c>
      <c r="BS114" s="22" t="s">
        <v>93</v>
      </c>
      <c r="BT114" s="22" t="s">
        <v>95</v>
      </c>
      <c r="BU114" s="22" t="s">
        <v>96</v>
      </c>
      <c r="BV114" s="22" t="s">
        <v>98</v>
      </c>
      <c r="BW114" s="46" t="s">
        <v>99</v>
      </c>
      <c r="BX114" s="185" t="s">
        <v>100</v>
      </c>
      <c r="BY114" s="22" t="s">
        <v>1</v>
      </c>
      <c r="BZ114" s="22" t="s">
        <v>104</v>
      </c>
      <c r="CA114" s="22" t="s">
        <v>105</v>
      </c>
      <c r="CB114" s="22" t="s">
        <v>4</v>
      </c>
      <c r="CC114" s="22" t="s">
        <v>91</v>
      </c>
      <c r="CD114" s="22" t="s">
        <v>92</v>
      </c>
      <c r="CE114" s="22" t="s">
        <v>93</v>
      </c>
      <c r="CF114" s="22" t="s">
        <v>95</v>
      </c>
      <c r="CG114" s="22" t="s">
        <v>96</v>
      </c>
      <c r="CH114" s="22" t="s">
        <v>98</v>
      </c>
      <c r="CI114" s="46" t="s">
        <v>99</v>
      </c>
      <c r="CJ114" s="185" t="s">
        <v>100</v>
      </c>
      <c r="CK114" s="22" t="s">
        <v>1</v>
      </c>
      <c r="CL114" s="22" t="s">
        <v>104</v>
      </c>
      <c r="CM114" s="22" t="s">
        <v>105</v>
      </c>
      <c r="CN114" s="22" t="s">
        <v>4</v>
      </c>
      <c r="CO114" s="22" t="s">
        <v>91</v>
      </c>
      <c r="CP114" s="22" t="s">
        <v>92</v>
      </c>
      <c r="CQ114" s="22" t="s">
        <v>93</v>
      </c>
      <c r="CR114" s="22" t="s">
        <v>95</v>
      </c>
      <c r="CS114" s="22" t="s">
        <v>96</v>
      </c>
      <c r="CT114" s="22" t="s">
        <v>98</v>
      </c>
      <c r="CU114" s="46" t="s">
        <v>99</v>
      </c>
      <c r="CV114" s="55" t="s">
        <v>100</v>
      </c>
      <c r="CW114" s="22" t="s">
        <v>1</v>
      </c>
      <c r="CX114" s="22" t="s">
        <v>104</v>
      </c>
      <c r="CY114" s="22" t="s">
        <v>105</v>
      </c>
      <c r="CZ114" s="4" t="s">
        <v>4</v>
      </c>
      <c r="DA114" s="22" t="s">
        <v>91</v>
      </c>
      <c r="DB114" s="22" t="s">
        <v>92</v>
      </c>
      <c r="DC114" s="22" t="s">
        <v>93</v>
      </c>
      <c r="DD114" s="23" t="s">
        <v>95</v>
      </c>
      <c r="DE114" s="22" t="s">
        <v>96</v>
      </c>
      <c r="DF114" s="22" t="s">
        <v>98</v>
      </c>
      <c r="DG114" s="23" t="s">
        <v>99</v>
      </c>
      <c r="DH114" s="23" t="s">
        <v>100</v>
      </c>
      <c r="DI114" s="23" t="s">
        <v>1</v>
      </c>
      <c r="DJ114" s="23" t="s">
        <v>104</v>
      </c>
      <c r="DK114" s="23" t="s">
        <v>105</v>
      </c>
      <c r="DL114" s="23" t="s">
        <v>4</v>
      </c>
      <c r="DM114" s="23" t="s">
        <v>91</v>
      </c>
      <c r="DN114" s="23" t="s">
        <v>92</v>
      </c>
      <c r="DO114" s="23" t="s">
        <v>93</v>
      </c>
      <c r="DP114" s="23" t="s">
        <v>95</v>
      </c>
      <c r="DQ114" s="23" t="s">
        <v>96</v>
      </c>
      <c r="DR114" s="23" t="s">
        <v>98</v>
      </c>
      <c r="DS114" s="23" t="s">
        <v>99</v>
      </c>
      <c r="DT114" s="51" t="s">
        <v>100</v>
      </c>
      <c r="DU114" s="23" t="s">
        <v>1</v>
      </c>
      <c r="DV114" s="23" t="s">
        <v>104</v>
      </c>
      <c r="DW114" s="23" t="s">
        <v>105</v>
      </c>
      <c r="DX114" s="23" t="s">
        <v>4</v>
      </c>
      <c r="DY114" s="23" t="s">
        <v>91</v>
      </c>
      <c r="DZ114" s="23" t="s">
        <v>92</v>
      </c>
      <c r="EA114" s="23" t="s">
        <v>93</v>
      </c>
      <c r="EB114" s="23" t="s">
        <v>95</v>
      </c>
      <c r="EC114" s="23" t="s">
        <v>96</v>
      </c>
      <c r="ED114" s="23" t="s">
        <v>98</v>
      </c>
      <c r="EE114" s="23" t="s">
        <v>99</v>
      </c>
      <c r="EF114" s="51" t="s">
        <v>0</v>
      </c>
      <c r="EG114" s="23" t="s">
        <v>30</v>
      </c>
      <c r="EH114" s="23" t="s">
        <v>73</v>
      </c>
      <c r="EI114" s="23" t="s">
        <v>76</v>
      </c>
      <c r="EJ114" s="23" t="s">
        <v>115</v>
      </c>
      <c r="EK114" s="23" t="s">
        <v>91</v>
      </c>
      <c r="EL114" s="23" t="s">
        <v>92</v>
      </c>
      <c r="EM114" s="23" t="s">
        <v>31</v>
      </c>
      <c r="EN114" s="23" t="s">
        <v>18</v>
      </c>
      <c r="EO114" s="23" t="s">
        <v>26</v>
      </c>
      <c r="EP114" s="23" t="s">
        <v>27</v>
      </c>
      <c r="EQ114" s="23" t="s">
        <v>12</v>
      </c>
      <c r="ER114" s="22" t="s">
        <v>100</v>
      </c>
      <c r="ES114" s="4" t="s">
        <v>1</v>
      </c>
      <c r="ET114" s="4" t="s">
        <v>104</v>
      </c>
      <c r="EU114" s="4" t="s">
        <v>105</v>
      </c>
      <c r="EV114" s="4" t="s">
        <v>4</v>
      </c>
      <c r="EW114" s="4" t="s">
        <v>91</v>
      </c>
      <c r="EX114" s="4" t="s">
        <v>92</v>
      </c>
      <c r="EY114" s="4" t="s">
        <v>93</v>
      </c>
      <c r="EZ114" s="4" t="s">
        <v>95</v>
      </c>
      <c r="FA114" s="4" t="s">
        <v>96</v>
      </c>
      <c r="FB114" s="4" t="s">
        <v>98</v>
      </c>
      <c r="FC114" s="55" t="s">
        <v>99</v>
      </c>
      <c r="FD114" s="23" t="s">
        <v>100</v>
      </c>
      <c r="FE114" s="23" t="s">
        <v>1</v>
      </c>
      <c r="FF114" s="23" t="s">
        <v>104</v>
      </c>
      <c r="FG114" s="23" t="s">
        <v>105</v>
      </c>
      <c r="FH114" s="23" t="s">
        <v>4</v>
      </c>
      <c r="FI114" s="23" t="s">
        <v>91</v>
      </c>
      <c r="FJ114" s="23" t="s">
        <v>92</v>
      </c>
      <c r="FK114" s="55" t="s">
        <v>93</v>
      </c>
      <c r="FL114" s="22" t="s">
        <v>95</v>
      </c>
      <c r="FM114" s="22" t="s">
        <v>96</v>
      </c>
      <c r="FN114" s="22" t="s">
        <v>98</v>
      </c>
      <c r="FO114" s="23" t="s">
        <v>99</v>
      </c>
      <c r="FP114" s="332" t="s">
        <v>100</v>
      </c>
      <c r="FQ114" s="297" t="s">
        <v>1</v>
      </c>
      <c r="FR114" s="235" t="s">
        <v>104</v>
      </c>
      <c r="FS114" s="297" t="s">
        <v>105</v>
      </c>
      <c r="FT114" s="235" t="s">
        <v>4</v>
      </c>
      <c r="FU114" s="235" t="s">
        <v>91</v>
      </c>
      <c r="FV114" s="297" t="s">
        <v>92</v>
      </c>
      <c r="FW114" s="235" t="s">
        <v>93</v>
      </c>
      <c r="FX114" s="298" t="s">
        <v>95</v>
      </c>
      <c r="FY114" s="298" t="s">
        <v>96</v>
      </c>
      <c r="FZ114" s="298" t="s">
        <v>98</v>
      </c>
      <c r="GA114" s="298" t="s">
        <v>99</v>
      </c>
      <c r="GB114" s="298" t="s">
        <v>100</v>
      </c>
      <c r="GC114" s="298" t="s">
        <v>1</v>
      </c>
      <c r="GD114" s="235" t="s">
        <v>104</v>
      </c>
    </row>
    <row r="115" spans="1:186" ht="15" customHeight="1">
      <c r="A115" s="3"/>
      <c r="B115" s="186" t="s">
        <v>78</v>
      </c>
      <c r="C115" s="18"/>
      <c r="D115" s="31"/>
      <c r="E115" s="32"/>
      <c r="F115" s="32"/>
      <c r="G115" s="32"/>
      <c r="H115" s="32"/>
      <c r="I115" s="32"/>
      <c r="J115" s="32"/>
      <c r="K115" s="32"/>
      <c r="L115" s="32"/>
      <c r="M115" s="32"/>
      <c r="N115" s="33"/>
      <c r="O115" s="34"/>
      <c r="P115" s="44"/>
      <c r="Q115" s="33"/>
      <c r="R115" s="33"/>
      <c r="S115" s="33"/>
      <c r="T115" s="25"/>
      <c r="U115" s="25"/>
      <c r="V115" s="25"/>
      <c r="W115" s="25"/>
      <c r="X115" s="33"/>
      <c r="Y115" s="33"/>
      <c r="Z115" s="25"/>
      <c r="AA115" s="39"/>
      <c r="AB115" s="44"/>
      <c r="AC115" s="25"/>
      <c r="AD115" s="33"/>
      <c r="AE115" s="33"/>
      <c r="AF115" s="33"/>
      <c r="AG115" s="25"/>
      <c r="AH115" s="33"/>
      <c r="AI115" s="25"/>
      <c r="AJ115" s="25"/>
      <c r="AK115" s="25"/>
      <c r="AL115" s="25"/>
      <c r="AM115" s="39"/>
      <c r="AQ115" s="5"/>
      <c r="AR115" s="3"/>
      <c r="AS115" s="3"/>
      <c r="AT115" s="3"/>
      <c r="AU115" s="3"/>
      <c r="AV115" s="3"/>
      <c r="AW115" s="49"/>
      <c r="AX115" s="5"/>
      <c r="AY115" s="187"/>
      <c r="AZ115" s="5"/>
      <c r="BA115" s="3"/>
      <c r="BB115" s="3"/>
      <c r="BC115" s="3"/>
      <c r="BD115" s="3"/>
      <c r="BE115" s="3"/>
      <c r="BF115" s="3"/>
      <c r="BG115" s="3"/>
      <c r="BH115" s="3"/>
      <c r="BI115" s="3"/>
      <c r="BJ115" s="3"/>
      <c r="BK115" s="187"/>
      <c r="BL115" s="188"/>
      <c r="BM115" s="3"/>
      <c r="BN115" s="3"/>
      <c r="BO115" s="3"/>
      <c r="BP115" s="3"/>
      <c r="BQ115" s="3"/>
      <c r="BR115" s="3"/>
      <c r="BS115" s="3"/>
      <c r="BT115" s="3"/>
      <c r="BU115" s="3"/>
      <c r="BV115" s="3"/>
      <c r="BW115" s="189"/>
      <c r="BX115" s="190"/>
      <c r="BY115" s="5"/>
      <c r="BZ115" s="3"/>
      <c r="CA115" s="3"/>
      <c r="CB115" s="3"/>
      <c r="CC115" s="97"/>
      <c r="CD115" s="97"/>
      <c r="CE115" s="97"/>
      <c r="CF115" s="108"/>
      <c r="CG115" s="108"/>
      <c r="CH115" s="108"/>
      <c r="CI115" s="191"/>
      <c r="CJ115" s="192"/>
      <c r="CK115" s="97"/>
      <c r="CL115" s="97"/>
      <c r="CM115" s="97"/>
      <c r="CN115" s="97"/>
      <c r="CO115" s="97"/>
      <c r="CP115" s="97"/>
      <c r="CQ115" s="97"/>
      <c r="CR115" s="97"/>
      <c r="CS115" s="97"/>
      <c r="CT115" s="97"/>
      <c r="CU115" s="191"/>
      <c r="CV115" s="97"/>
      <c r="CW115" s="107"/>
      <c r="CX115" s="97"/>
      <c r="CY115" s="97"/>
      <c r="CZ115" s="97"/>
      <c r="DA115" s="97"/>
      <c r="DB115" s="97"/>
      <c r="DC115" s="97"/>
      <c r="DD115" s="97"/>
      <c r="DE115" s="107"/>
      <c r="DF115" s="97"/>
      <c r="DG115" s="193"/>
      <c r="DH115" s="96"/>
      <c r="DI115" s="97"/>
      <c r="DJ115" s="97"/>
      <c r="DK115" s="107"/>
      <c r="DL115" s="107"/>
      <c r="DM115" s="107"/>
      <c r="DN115" s="107"/>
      <c r="DO115" s="97"/>
      <c r="DP115" s="107"/>
      <c r="DQ115" s="107"/>
      <c r="DR115" s="124"/>
      <c r="DS115" s="128"/>
      <c r="DT115" s="119"/>
      <c r="DU115" s="122"/>
      <c r="DV115" s="122"/>
      <c r="DW115" s="122"/>
      <c r="DX115" s="122"/>
      <c r="DY115" s="122"/>
      <c r="DZ115" s="122"/>
      <c r="EA115" s="122"/>
      <c r="EB115" s="124"/>
      <c r="EC115" s="124"/>
      <c r="ED115" s="124"/>
      <c r="EE115" s="128"/>
      <c r="EF115" s="124"/>
      <c r="EG115" s="122"/>
      <c r="EH115" s="122"/>
      <c r="EI115" s="124"/>
      <c r="EJ115" s="124"/>
      <c r="EK115" s="122"/>
      <c r="EL115" s="122"/>
      <c r="EM115" s="122"/>
      <c r="EN115" s="124"/>
      <c r="EO115" s="124"/>
      <c r="EP115" s="124"/>
      <c r="EQ115" s="128"/>
      <c r="ER115" s="119"/>
      <c r="ES115" s="122"/>
      <c r="ET115" s="124"/>
      <c r="EU115" s="122"/>
      <c r="EV115" s="124"/>
      <c r="EW115" s="124"/>
      <c r="EX115" s="122"/>
      <c r="EY115" s="122"/>
      <c r="EZ115" s="122"/>
      <c r="FA115" s="124"/>
      <c r="FB115" s="124"/>
      <c r="FC115" s="128"/>
      <c r="FD115" s="63"/>
      <c r="FE115" s="292"/>
      <c r="FF115" s="63"/>
      <c r="FG115" s="292"/>
      <c r="FH115" s="63"/>
      <c r="FI115" s="63"/>
      <c r="FJ115" s="63"/>
      <c r="FK115" s="292"/>
      <c r="FL115" s="119"/>
      <c r="FM115" s="119"/>
      <c r="FN115" s="333"/>
      <c r="FO115" s="63"/>
      <c r="FP115" s="140"/>
      <c r="FQ115" s="333"/>
      <c r="FR115" s="63"/>
      <c r="FS115" s="292"/>
      <c r="FT115" s="292"/>
      <c r="FU115" s="63"/>
      <c r="FV115" s="124"/>
      <c r="FW115" s="292"/>
      <c r="FX115" s="292"/>
      <c r="FY115" s="122"/>
      <c r="FZ115" s="119"/>
      <c r="GA115" s="119"/>
      <c r="GB115" s="119"/>
      <c r="GC115" s="119"/>
      <c r="GD115" s="63"/>
    </row>
    <row r="116" spans="1:186" ht="15" customHeight="1">
      <c r="A116" s="3"/>
      <c r="B116" s="117" t="s">
        <v>8</v>
      </c>
      <c r="C116" s="19" t="e">
        <f>((C81/#REF!)-1)*100</f>
        <v>#REF!</v>
      </c>
      <c r="D116" s="35">
        <f aca="true" t="shared" si="162" ref="D116:AI116">(POWER(D81/C81,12)-1)*100</f>
        <v>114.33736079164353</v>
      </c>
      <c r="E116" s="36">
        <f t="shared" si="162"/>
        <v>37.67280559048278</v>
      </c>
      <c r="F116" s="36">
        <f t="shared" si="162"/>
        <v>5.015703375278413</v>
      </c>
      <c r="G116" s="36">
        <f t="shared" si="162"/>
        <v>105.50721388320513</v>
      </c>
      <c r="H116" s="36">
        <f t="shared" si="162"/>
        <v>117.62951708888285</v>
      </c>
      <c r="I116" s="36">
        <f t="shared" si="162"/>
        <v>159.60450710373775</v>
      </c>
      <c r="J116" s="36">
        <f t="shared" si="162"/>
        <v>496.5159244305108</v>
      </c>
      <c r="K116" s="36">
        <f t="shared" si="162"/>
        <v>37.16516927770259</v>
      </c>
      <c r="L116" s="36">
        <f t="shared" si="162"/>
        <v>8.082050434529853</v>
      </c>
      <c r="M116" s="36">
        <f t="shared" si="162"/>
        <v>-6.961080557233212</v>
      </c>
      <c r="N116" s="36">
        <f t="shared" si="162"/>
        <v>133.44827859148972</v>
      </c>
      <c r="O116" s="37">
        <f t="shared" si="162"/>
        <v>93.09861138563826</v>
      </c>
      <c r="P116" s="35">
        <f t="shared" si="162"/>
        <v>92.60525355605154</v>
      </c>
      <c r="Q116" s="36">
        <f t="shared" si="162"/>
        <v>180.67917167831519</v>
      </c>
      <c r="R116" s="36">
        <f t="shared" si="162"/>
        <v>-13.197099578100035</v>
      </c>
      <c r="S116" s="36">
        <f t="shared" si="162"/>
        <v>-44.15957343495963</v>
      </c>
      <c r="T116" s="36">
        <f t="shared" si="162"/>
        <v>5.915036789896555</v>
      </c>
      <c r="U116" s="36">
        <f t="shared" si="162"/>
        <v>60.208657553071475</v>
      </c>
      <c r="V116" s="36">
        <f t="shared" si="162"/>
        <v>-45.516977723855746</v>
      </c>
      <c r="W116" s="36">
        <f t="shared" si="162"/>
        <v>-11.493008245270463</v>
      </c>
      <c r="X116" s="36">
        <f t="shared" si="162"/>
        <v>16.646252015479135</v>
      </c>
      <c r="Y116" s="36">
        <f t="shared" si="162"/>
        <v>3.3250798080209476</v>
      </c>
      <c r="Z116" s="36">
        <f t="shared" si="162"/>
        <v>45.65192701600298</v>
      </c>
      <c r="AA116" s="37">
        <f t="shared" si="162"/>
        <v>13.918971265650315</v>
      </c>
      <c r="AB116" s="35">
        <f t="shared" si="162"/>
        <v>8.58416376178479</v>
      </c>
      <c r="AC116" s="36">
        <f t="shared" si="162"/>
        <v>23.869950680930874</v>
      </c>
      <c r="AD116" s="36">
        <f t="shared" si="162"/>
        <v>30.80567973546957</v>
      </c>
      <c r="AE116" s="36">
        <f t="shared" si="162"/>
        <v>15.340267860952906</v>
      </c>
      <c r="AF116" s="36">
        <f t="shared" si="162"/>
        <v>46.60145456525038</v>
      </c>
      <c r="AG116" s="36">
        <f t="shared" si="162"/>
        <v>31.12262746944683</v>
      </c>
      <c r="AH116" s="36">
        <f t="shared" si="162"/>
        <v>39.64145976741429</v>
      </c>
      <c r="AI116" s="36">
        <f t="shared" si="162"/>
        <v>1.5210764317576952</v>
      </c>
      <c r="AJ116" s="36">
        <f aca="true" t="shared" si="163" ref="AJ116:BO116">(POWER(AJ81/AI81,12)-1)*100</f>
        <v>-11.491100250240017</v>
      </c>
      <c r="AK116" s="36">
        <f t="shared" si="163"/>
        <v>10.28568702410222</v>
      </c>
      <c r="AL116" s="36">
        <f t="shared" si="163"/>
        <v>55.50577552115945</v>
      </c>
      <c r="AM116" s="37">
        <f t="shared" si="163"/>
        <v>109.92640532062113</v>
      </c>
      <c r="AN116" s="26">
        <f t="shared" si="163"/>
        <v>14.358827170184485</v>
      </c>
      <c r="AO116" s="26">
        <f t="shared" si="163"/>
        <v>-32.17207977355727</v>
      </c>
      <c r="AP116" s="27">
        <f t="shared" si="163"/>
        <v>40.11490625294596</v>
      </c>
      <c r="AQ116" s="27">
        <f t="shared" si="163"/>
        <v>72.82428357460557</v>
      </c>
      <c r="AR116" s="27">
        <f t="shared" si="163"/>
        <v>86.44953013381821</v>
      </c>
      <c r="AS116" s="27">
        <f t="shared" si="163"/>
        <v>79.63840081866591</v>
      </c>
      <c r="AT116" s="27">
        <f t="shared" si="163"/>
        <v>-23.045679550755338</v>
      </c>
      <c r="AU116" s="27">
        <f t="shared" si="163"/>
        <v>8.286168490243018</v>
      </c>
      <c r="AV116" s="27">
        <f t="shared" si="163"/>
        <v>1992.0651857163377</v>
      </c>
      <c r="AW116" s="27">
        <f t="shared" si="163"/>
        <v>15.389884784917207</v>
      </c>
      <c r="AX116" s="27">
        <f t="shared" si="163"/>
        <v>82.31602980521409</v>
      </c>
      <c r="AY116" s="194">
        <f t="shared" si="163"/>
        <v>69.1800116297932</v>
      </c>
      <c r="AZ116" s="27">
        <f t="shared" si="163"/>
        <v>54.59262305424068</v>
      </c>
      <c r="BA116" s="27">
        <f t="shared" si="163"/>
        <v>179.45063989034486</v>
      </c>
      <c r="BB116" s="27">
        <f t="shared" si="163"/>
        <v>36.60369867377749</v>
      </c>
      <c r="BC116" s="27">
        <f t="shared" si="163"/>
        <v>-48.46280283617157</v>
      </c>
      <c r="BD116" s="27">
        <f t="shared" si="163"/>
        <v>73.49392410279343</v>
      </c>
      <c r="BE116" s="27">
        <f t="shared" si="163"/>
        <v>226.15376695692447</v>
      </c>
      <c r="BF116" s="27">
        <f t="shared" si="163"/>
        <v>79.81901875617399</v>
      </c>
      <c r="BG116" s="27">
        <f t="shared" si="163"/>
        <v>4.307347486768265</v>
      </c>
      <c r="BH116" s="27">
        <f t="shared" si="163"/>
        <v>-36.94875627013933</v>
      </c>
      <c r="BI116" s="27">
        <f t="shared" si="163"/>
        <v>62.75515294652732</v>
      </c>
      <c r="BJ116" s="27">
        <f t="shared" si="163"/>
        <v>46.01846474842819</v>
      </c>
      <c r="BK116" s="194">
        <f t="shared" si="163"/>
        <v>143.09532021826584</v>
      </c>
      <c r="BL116" s="195">
        <f t="shared" si="163"/>
        <v>-8.883903381025238</v>
      </c>
      <c r="BM116" s="27">
        <f t="shared" si="163"/>
        <v>13.241604641527594</v>
      </c>
      <c r="BN116" s="27">
        <f t="shared" si="163"/>
        <v>-23.267538946422484</v>
      </c>
      <c r="BO116" s="27">
        <f t="shared" si="163"/>
        <v>-0.3420505483211378</v>
      </c>
      <c r="BP116" s="27">
        <f aca="true" t="shared" si="164" ref="BP116:CU116">(POWER(BP81/BO81,12)-1)*100</f>
        <v>-1.1645803690430223</v>
      </c>
      <c r="BQ116" s="27">
        <f t="shared" si="164"/>
        <v>4.999051920100062</v>
      </c>
      <c r="BR116" s="27">
        <f t="shared" si="164"/>
        <v>43.74178381522569</v>
      </c>
      <c r="BS116" s="27">
        <f t="shared" si="164"/>
        <v>-50.807769084983455</v>
      </c>
      <c r="BT116" s="27">
        <f t="shared" si="164"/>
        <v>19.207972733651847</v>
      </c>
      <c r="BU116" s="27">
        <f t="shared" si="164"/>
        <v>34.49361870607417</v>
      </c>
      <c r="BV116" s="27">
        <f t="shared" si="164"/>
        <v>33.97780404990027</v>
      </c>
      <c r="BW116" s="194">
        <f t="shared" si="164"/>
        <v>55.06434892397345</v>
      </c>
      <c r="BX116" s="195">
        <f t="shared" si="164"/>
        <v>-49.010878677991</v>
      </c>
      <c r="BY116" s="27">
        <f t="shared" si="164"/>
        <v>7.388707616296086</v>
      </c>
      <c r="BZ116" s="27">
        <f t="shared" si="164"/>
        <v>-49.59341888930868</v>
      </c>
      <c r="CA116" s="27">
        <f t="shared" si="164"/>
        <v>3.3860014175877584</v>
      </c>
      <c r="CB116" s="27">
        <f t="shared" si="164"/>
        <v>88.23141824903085</v>
      </c>
      <c r="CC116" s="27">
        <f t="shared" si="164"/>
        <v>66.74136182869871</v>
      </c>
      <c r="CD116" s="27">
        <f t="shared" si="164"/>
        <v>8.933670927777237</v>
      </c>
      <c r="CE116" s="27">
        <f t="shared" si="164"/>
        <v>21.622491673722656</v>
      </c>
      <c r="CF116" s="27">
        <f t="shared" si="164"/>
        <v>10.853648221143853</v>
      </c>
      <c r="CG116" s="27">
        <f t="shared" si="164"/>
        <v>14.014710660338526</v>
      </c>
      <c r="CH116" s="27">
        <f t="shared" si="164"/>
        <v>46.06447506090341</v>
      </c>
      <c r="CI116" s="194">
        <f t="shared" si="164"/>
        <v>263.1431611308453</v>
      </c>
      <c r="CJ116" s="195">
        <f t="shared" si="164"/>
        <v>-37.51689039794525</v>
      </c>
      <c r="CK116" s="27">
        <f t="shared" si="164"/>
        <v>-34.89805637350252</v>
      </c>
      <c r="CL116" s="27">
        <f t="shared" si="164"/>
        <v>-31.594218281110308</v>
      </c>
      <c r="CM116" s="27">
        <f t="shared" si="164"/>
        <v>200.52567448909767</v>
      </c>
      <c r="CN116" s="27">
        <f t="shared" si="164"/>
        <v>-9.558635553094131</v>
      </c>
      <c r="CO116" s="27">
        <f t="shared" si="164"/>
        <v>17.8103938378537</v>
      </c>
      <c r="CP116" s="27">
        <f t="shared" si="164"/>
        <v>34.566453781779046</v>
      </c>
      <c r="CQ116" s="27">
        <f t="shared" si="164"/>
        <v>17.01380355628639</v>
      </c>
      <c r="CR116" s="27">
        <f t="shared" si="164"/>
        <v>-2.3589285805714177</v>
      </c>
      <c r="CS116" s="27">
        <f t="shared" si="164"/>
        <v>44.1719266127337</v>
      </c>
      <c r="CT116" s="27">
        <f t="shared" si="164"/>
        <v>30.514191985790085</v>
      </c>
      <c r="CU116" s="194">
        <f t="shared" si="164"/>
        <v>10.127851585359915</v>
      </c>
      <c r="CV116" s="27">
        <f aca="true" t="shared" si="165" ref="CV116:EA116">(POWER(CV81/CU81,12)-1)*100</f>
        <v>-40.54468828956836</v>
      </c>
      <c r="CW116" s="27">
        <f t="shared" si="165"/>
        <v>8.536141526209583</v>
      </c>
      <c r="CX116" s="27">
        <f t="shared" si="165"/>
        <v>-1.2019360772426824</v>
      </c>
      <c r="CY116" s="27">
        <f t="shared" si="165"/>
        <v>94.81911275332682</v>
      </c>
      <c r="CZ116" s="27">
        <f t="shared" si="165"/>
        <v>-3.399214697856623</v>
      </c>
      <c r="DA116" s="27">
        <f t="shared" si="165"/>
        <v>28.945299529386624</v>
      </c>
      <c r="DB116" s="27">
        <f t="shared" si="165"/>
        <v>-9.531385454624797</v>
      </c>
      <c r="DC116" s="27">
        <f t="shared" si="165"/>
        <v>4.400002932516323</v>
      </c>
      <c r="DD116" s="99">
        <f t="shared" si="165"/>
        <v>-13.086915537563126</v>
      </c>
      <c r="DE116" s="99">
        <f t="shared" si="165"/>
        <v>18.851195573147493</v>
      </c>
      <c r="DF116" s="99">
        <f t="shared" si="165"/>
        <v>12.892714030377084</v>
      </c>
      <c r="DG116" s="116">
        <f t="shared" si="165"/>
        <v>47.69551220764685</v>
      </c>
      <c r="DH116" s="98">
        <f t="shared" si="165"/>
        <v>-22.675303920996036</v>
      </c>
      <c r="DI116" s="99">
        <f t="shared" si="165"/>
        <v>52.221849538651476</v>
      </c>
      <c r="DJ116" s="99">
        <f t="shared" si="165"/>
        <v>20.359025945947895</v>
      </c>
      <c r="DK116" s="99">
        <f t="shared" si="165"/>
        <v>58.207867677734185</v>
      </c>
      <c r="DL116" s="99">
        <f t="shared" si="165"/>
        <v>23.4974544314678</v>
      </c>
      <c r="DM116" s="102">
        <f t="shared" si="165"/>
        <v>9.069010741564586</v>
      </c>
      <c r="DN116" s="102">
        <f t="shared" si="165"/>
        <v>-14.118528437622146</v>
      </c>
      <c r="DO116" s="102">
        <f t="shared" si="165"/>
        <v>19.347066388983315</v>
      </c>
      <c r="DP116" s="102">
        <f t="shared" si="165"/>
        <v>14.123332272972334</v>
      </c>
      <c r="DQ116" s="102">
        <f t="shared" si="165"/>
        <v>-2.3764756649722663</v>
      </c>
      <c r="DR116" s="102">
        <f t="shared" si="165"/>
        <v>11.228507951634015</v>
      </c>
      <c r="DS116" s="130">
        <f t="shared" si="165"/>
        <v>48.00725305344857</v>
      </c>
      <c r="DT116" s="105">
        <f t="shared" si="165"/>
        <v>-29.473397450853824</v>
      </c>
      <c r="DU116" s="102">
        <f t="shared" si="165"/>
        <v>-1.6235877331790216</v>
      </c>
      <c r="DV116" s="102">
        <f t="shared" si="165"/>
        <v>-2.189891435634439</v>
      </c>
      <c r="DW116" s="102">
        <f t="shared" si="165"/>
        <v>-30.11918976102296</v>
      </c>
      <c r="DX116" s="102">
        <f t="shared" si="165"/>
        <v>-21.418551187911362</v>
      </c>
      <c r="DY116" s="102">
        <f t="shared" si="165"/>
        <v>-40.24438898179422</v>
      </c>
      <c r="DZ116" s="102">
        <f t="shared" si="165"/>
        <v>79.17329961303912</v>
      </c>
      <c r="EA116" s="102">
        <f t="shared" si="165"/>
        <v>-22.41324643224123</v>
      </c>
      <c r="EB116" s="102">
        <f aca="true" t="shared" si="166" ref="EB116:ES116">(POWER(EB81/EA81,12)-1)*100</f>
        <v>20.381690178320923</v>
      </c>
      <c r="EC116" s="102">
        <f t="shared" si="166"/>
        <v>-6.986328752597637</v>
      </c>
      <c r="ED116" s="102">
        <f t="shared" si="166"/>
        <v>-12.259542298715365</v>
      </c>
      <c r="EE116" s="144">
        <f t="shared" si="166"/>
        <v>-1.9716743502576906</v>
      </c>
      <c r="EF116" s="102">
        <f t="shared" si="166"/>
        <v>-65.2895291797449</v>
      </c>
      <c r="EG116" s="102">
        <f t="shared" si="166"/>
        <v>10.182405619689439</v>
      </c>
      <c r="EH116" s="102">
        <f t="shared" si="166"/>
        <v>73.09365243884707</v>
      </c>
      <c r="EI116" s="102">
        <f t="shared" si="166"/>
        <v>10.342459361950151</v>
      </c>
      <c r="EJ116" s="113">
        <f t="shared" si="166"/>
        <v>4.983226609521352</v>
      </c>
      <c r="EK116" s="113">
        <f t="shared" si="166"/>
        <v>-27.37556670807193</v>
      </c>
      <c r="EL116" s="113">
        <f t="shared" si="166"/>
        <v>-42.01915059456529</v>
      </c>
      <c r="EM116" s="113">
        <f t="shared" si="166"/>
        <v>-19.71540577256957</v>
      </c>
      <c r="EN116" s="113">
        <f t="shared" si="166"/>
        <v>-7.0789150941498065</v>
      </c>
      <c r="EO116" s="113">
        <f t="shared" si="166"/>
        <v>-6.872761219571776</v>
      </c>
      <c r="EP116" s="113">
        <f t="shared" si="166"/>
        <v>-7.123505460530232</v>
      </c>
      <c r="EQ116" s="137">
        <f t="shared" si="166"/>
        <v>-4.607559236626857</v>
      </c>
      <c r="ER116" s="138">
        <f t="shared" si="166"/>
        <v>-29.831182277464997</v>
      </c>
      <c r="ES116" s="113">
        <f t="shared" si="166"/>
        <v>30.889179283264824</v>
      </c>
      <c r="ET116" s="113">
        <f aca="true" t="shared" si="167" ref="ET116:FA116">(POWER(ET81/ES81,12)-1)*100</f>
        <v>36.0869809747947</v>
      </c>
      <c r="EU116" s="113">
        <f t="shared" si="167"/>
        <v>19.068753646997962</v>
      </c>
      <c r="EV116" s="113">
        <f t="shared" si="167"/>
        <v>1.0275694574315208</v>
      </c>
      <c r="EW116" s="113">
        <f t="shared" si="167"/>
        <v>6.837637589212875</v>
      </c>
      <c r="EX116" s="113">
        <f t="shared" si="167"/>
        <v>24.212916487143033</v>
      </c>
      <c r="EY116" s="113">
        <f t="shared" si="167"/>
        <v>-27.07013896712217</v>
      </c>
      <c r="EZ116" s="113">
        <f t="shared" si="167"/>
        <v>24.286641350251603</v>
      </c>
      <c r="FA116" s="113">
        <f t="shared" si="167"/>
        <v>25.472677842238014</v>
      </c>
      <c r="FB116" s="113">
        <f aca="true" t="shared" si="168" ref="FB116:FM116">(POWER(FB81/FA81,12)-1)*100</f>
        <v>-12.433929897145967</v>
      </c>
      <c r="FC116" s="137">
        <f t="shared" si="168"/>
        <v>28.490803588781223</v>
      </c>
      <c r="FD116" s="293">
        <f t="shared" si="168"/>
        <v>-10.206123415078183</v>
      </c>
      <c r="FE116" s="293">
        <f t="shared" si="168"/>
        <v>-12.115106071480719</v>
      </c>
      <c r="FF116" s="293">
        <f t="shared" si="168"/>
        <v>-15.712949041724578</v>
      </c>
      <c r="FG116" s="293">
        <f t="shared" si="168"/>
        <v>-39.40914118251529</v>
      </c>
      <c r="FH116" s="293">
        <f t="shared" si="168"/>
        <v>-3.018123831066244</v>
      </c>
      <c r="FI116" s="293">
        <f t="shared" si="168"/>
        <v>15.969129628131661</v>
      </c>
      <c r="FJ116" s="293">
        <f t="shared" si="168"/>
        <v>-16.379240715665176</v>
      </c>
      <c r="FK116" s="293">
        <f t="shared" si="168"/>
        <v>-9.096522308715816</v>
      </c>
      <c r="FL116" s="138">
        <f t="shared" si="168"/>
        <v>3.837289634337493</v>
      </c>
      <c r="FM116" s="138">
        <f t="shared" si="168"/>
        <v>-20.754517752868075</v>
      </c>
      <c r="FN116" s="138">
        <f aca="true" t="shared" si="169" ref="FN116:FS116">(POWER(FN81/FM81,12)-1)*100</f>
        <v>13.576689614653414</v>
      </c>
      <c r="FO116" s="293">
        <f t="shared" si="169"/>
        <v>106.80691952238016</v>
      </c>
      <c r="FP116" s="293">
        <f t="shared" si="169"/>
        <v>-38.15391524637592</v>
      </c>
      <c r="FQ116" s="138">
        <f t="shared" si="169"/>
        <v>-20.38652726609972</v>
      </c>
      <c r="FR116" s="293">
        <f t="shared" si="169"/>
        <v>-10.369971526192101</v>
      </c>
      <c r="FS116" s="293">
        <f t="shared" si="169"/>
        <v>-7.756607023913887</v>
      </c>
      <c r="FT116" s="293">
        <f aca="true" t="shared" si="170" ref="FT116:FY116">(POWER(FT81/FS81,12)-1)*100</f>
        <v>22.66748685015534</v>
      </c>
      <c r="FU116" s="293">
        <f t="shared" si="170"/>
        <v>32.228982365541526</v>
      </c>
      <c r="FV116" s="113">
        <f t="shared" si="170"/>
        <v>14.215421710263554</v>
      </c>
      <c r="FW116" s="293">
        <f t="shared" si="170"/>
        <v>34.103090955618455</v>
      </c>
      <c r="FX116" s="293">
        <f t="shared" si="170"/>
        <v>13.867975080069117</v>
      </c>
      <c r="FY116" s="138">
        <f t="shared" si="170"/>
        <v>-6.740602345399738</v>
      </c>
      <c r="FZ116" s="138">
        <f>(POWER(FZ81/FY81,12)-1)*100</f>
        <v>48.782030952715914</v>
      </c>
      <c r="GA116" s="138">
        <f>(POWER(GA81/FZ81,12)-1)*100</f>
        <v>-13.78688467629643</v>
      </c>
      <c r="GB116" s="138">
        <f>(POWER(GB81/GA81,12)-1)*100</f>
        <v>10.940648199771719</v>
      </c>
      <c r="GC116" s="138">
        <f>(POWER(GC81/GB81,12)-1)*100</f>
        <v>-12.336474279215315</v>
      </c>
      <c r="GD116" s="293">
        <f>(POWER(GD81/GC81,12)-1)*100</f>
        <v>29.74288574162296</v>
      </c>
    </row>
    <row r="117" spans="1:186" ht="15" customHeight="1">
      <c r="A117" s="3"/>
      <c r="B117" s="117" t="s">
        <v>102</v>
      </c>
      <c r="C117" s="19"/>
      <c r="D117" s="135">
        <f aca="true" t="shared" si="171" ref="D117:AI117">(POWER(D89/C89,12)-1)*100</f>
        <v>181.4488693882706</v>
      </c>
      <c r="E117" s="135">
        <f t="shared" si="171"/>
        <v>54.68296545738816</v>
      </c>
      <c r="F117" s="135">
        <f t="shared" si="171"/>
        <v>49.65179198951819</v>
      </c>
      <c r="G117" s="135">
        <f t="shared" si="171"/>
        <v>98.2032942488396</v>
      </c>
      <c r="H117" s="135">
        <f t="shared" si="171"/>
        <v>47.68362637309023</v>
      </c>
      <c r="I117" s="135">
        <f t="shared" si="171"/>
        <v>164.78814608981259</v>
      </c>
      <c r="J117" s="135">
        <f t="shared" si="171"/>
        <v>30.19683268408071</v>
      </c>
      <c r="K117" s="135">
        <f t="shared" si="171"/>
        <v>58.003155040027735</v>
      </c>
      <c r="L117" s="135">
        <f t="shared" si="171"/>
        <v>9.723660147425917</v>
      </c>
      <c r="M117" s="135">
        <f t="shared" si="171"/>
        <v>-25.860213318880387</v>
      </c>
      <c r="N117" s="135">
        <f t="shared" si="171"/>
        <v>44.23260833805849</v>
      </c>
      <c r="O117" s="196">
        <f t="shared" si="171"/>
        <v>613.5275504952211</v>
      </c>
      <c r="P117" s="136">
        <f t="shared" si="171"/>
        <v>-1.6428341152754156</v>
      </c>
      <c r="Q117" s="135">
        <f t="shared" si="171"/>
        <v>46.55129737926708</v>
      </c>
      <c r="R117" s="135">
        <f t="shared" si="171"/>
        <v>99.9648517833406</v>
      </c>
      <c r="S117" s="135">
        <f t="shared" si="171"/>
        <v>-26.02585435483544</v>
      </c>
      <c r="T117" s="135">
        <f t="shared" si="171"/>
        <v>42.223068526745756</v>
      </c>
      <c r="U117" s="135">
        <f t="shared" si="171"/>
        <v>-35.17880018787714</v>
      </c>
      <c r="V117" s="135">
        <f t="shared" si="171"/>
        <v>-4.59436431491741</v>
      </c>
      <c r="W117" s="135">
        <f t="shared" si="171"/>
        <v>7.422046847404129</v>
      </c>
      <c r="X117" s="135">
        <f t="shared" si="171"/>
        <v>-16.266523297290657</v>
      </c>
      <c r="Y117" s="135">
        <f t="shared" si="171"/>
        <v>30.818787319049477</v>
      </c>
      <c r="Z117" s="135">
        <f t="shared" si="171"/>
        <v>-14.44207650210675</v>
      </c>
      <c r="AA117" s="196">
        <f t="shared" si="171"/>
        <v>113.45615156853599</v>
      </c>
      <c r="AB117" s="136">
        <f t="shared" si="171"/>
        <v>43.0182524175553</v>
      </c>
      <c r="AC117" s="135">
        <f t="shared" si="171"/>
        <v>40.284826883605795</v>
      </c>
      <c r="AD117" s="135">
        <f t="shared" si="171"/>
        <v>0.3980754451775592</v>
      </c>
      <c r="AE117" s="135">
        <f t="shared" si="171"/>
        <v>-7.937952461790731</v>
      </c>
      <c r="AF117" s="135">
        <f t="shared" si="171"/>
        <v>-8.545098154113473</v>
      </c>
      <c r="AG117" s="135">
        <f t="shared" si="171"/>
        <v>10.111311115767109</v>
      </c>
      <c r="AH117" s="135">
        <f t="shared" si="171"/>
        <v>242.70629236216763</v>
      </c>
      <c r="AI117" s="135">
        <f t="shared" si="171"/>
        <v>81.71024718715958</v>
      </c>
      <c r="AJ117" s="135">
        <f aca="true" t="shared" si="172" ref="AJ117:BO117">(POWER(AJ89/AI89,12)-1)*100</f>
        <v>-48.85554913250877</v>
      </c>
      <c r="AK117" s="135">
        <f t="shared" si="172"/>
        <v>21.24261052477534</v>
      </c>
      <c r="AL117" s="135">
        <f t="shared" si="172"/>
        <v>29.20026755359033</v>
      </c>
      <c r="AM117" s="196">
        <f t="shared" si="172"/>
        <v>315.7641269430493</v>
      </c>
      <c r="AN117" s="27">
        <f t="shared" si="172"/>
        <v>33.62576008657978</v>
      </c>
      <c r="AO117" s="27">
        <f t="shared" si="172"/>
        <v>5.8328983170388815</v>
      </c>
      <c r="AP117" s="27">
        <f t="shared" si="172"/>
        <v>4.0707647388345425</v>
      </c>
      <c r="AQ117" s="27">
        <f t="shared" si="172"/>
        <v>38.067176683541334</v>
      </c>
      <c r="AR117" s="27">
        <f t="shared" si="172"/>
        <v>-49.43441644928659</v>
      </c>
      <c r="AS117" s="27">
        <f t="shared" si="172"/>
        <v>57.288673985324515</v>
      </c>
      <c r="AT117" s="27">
        <f t="shared" si="172"/>
        <v>55.16432183214015</v>
      </c>
      <c r="AU117" s="27">
        <f t="shared" si="172"/>
        <v>60.143070878116276</v>
      </c>
      <c r="AV117" s="27">
        <f t="shared" si="172"/>
        <v>319.43301953060546</v>
      </c>
      <c r="AW117" s="27">
        <f t="shared" si="172"/>
        <v>48.73554194246883</v>
      </c>
      <c r="AX117" s="27">
        <f t="shared" si="172"/>
        <v>12.206701575147516</v>
      </c>
      <c r="AY117" s="194">
        <f t="shared" si="172"/>
        <v>110.457872612806</v>
      </c>
      <c r="AZ117" s="27">
        <f t="shared" si="172"/>
        <v>32.25711003562397</v>
      </c>
      <c r="BA117" s="27">
        <f t="shared" si="172"/>
        <v>-66.04911120636203</v>
      </c>
      <c r="BB117" s="27">
        <f t="shared" si="172"/>
        <v>24.250436775582095</v>
      </c>
      <c r="BC117" s="27">
        <f t="shared" si="172"/>
        <v>18.314154451052623</v>
      </c>
      <c r="BD117" s="27">
        <f t="shared" si="172"/>
        <v>41.67147694107054</v>
      </c>
      <c r="BE117" s="27">
        <f t="shared" si="172"/>
        <v>155.9935644322308</v>
      </c>
      <c r="BF117" s="27">
        <f t="shared" si="172"/>
        <v>75.32748642127729</v>
      </c>
      <c r="BG117" s="27">
        <f t="shared" si="172"/>
        <v>37.413671804335394</v>
      </c>
      <c r="BH117" s="27">
        <f t="shared" si="172"/>
        <v>78.0565727892072</v>
      </c>
      <c r="BI117" s="27">
        <f t="shared" si="172"/>
        <v>-13.027802668024924</v>
      </c>
      <c r="BJ117" s="27">
        <f t="shared" si="172"/>
        <v>61.75787991911339</v>
      </c>
      <c r="BK117" s="194">
        <f t="shared" si="172"/>
        <v>58.04581467872898</v>
      </c>
      <c r="BL117" s="195">
        <f t="shared" si="172"/>
        <v>51.06647421792347</v>
      </c>
      <c r="BM117" s="27">
        <f t="shared" si="172"/>
        <v>66.61402481844394</v>
      </c>
      <c r="BN117" s="27">
        <f t="shared" si="172"/>
        <v>-28.0550871262918</v>
      </c>
      <c r="BO117" s="27">
        <f t="shared" si="172"/>
        <v>-13.222305527837076</v>
      </c>
      <c r="BP117" s="27">
        <f aca="true" t="shared" si="173" ref="BP117:CU117">(POWER(BP89/BO89,12)-1)*100</f>
        <v>1.9855949781563131</v>
      </c>
      <c r="BQ117" s="27">
        <f t="shared" si="173"/>
        <v>37.30804601433056</v>
      </c>
      <c r="BR117" s="27">
        <f t="shared" si="173"/>
        <v>46.81797338007565</v>
      </c>
      <c r="BS117" s="27">
        <f t="shared" si="173"/>
        <v>37.91699115161313</v>
      </c>
      <c r="BT117" s="27">
        <f t="shared" si="173"/>
        <v>219.4863937588088</v>
      </c>
      <c r="BU117" s="27">
        <f t="shared" si="173"/>
        <v>-1.860385106832807</v>
      </c>
      <c r="BV117" s="27">
        <f t="shared" si="173"/>
        <v>33.68630366074565</v>
      </c>
      <c r="BW117" s="194">
        <f t="shared" si="173"/>
        <v>54.19197535865017</v>
      </c>
      <c r="BX117" s="195">
        <f t="shared" si="173"/>
        <v>18.1484155504686</v>
      </c>
      <c r="BY117" s="27">
        <f t="shared" si="173"/>
        <v>56.91491276710852</v>
      </c>
      <c r="BZ117" s="27">
        <f t="shared" si="173"/>
        <v>69.533352361113</v>
      </c>
      <c r="CA117" s="27">
        <f t="shared" si="173"/>
        <v>75.53922269047233</v>
      </c>
      <c r="CB117" s="27">
        <f t="shared" si="173"/>
        <v>61.95146826580802</v>
      </c>
      <c r="CC117" s="27">
        <f t="shared" si="173"/>
        <v>101.87804900141822</v>
      </c>
      <c r="CD117" s="27">
        <f t="shared" si="173"/>
        <v>5.148502308243663</v>
      </c>
      <c r="CE117" s="27">
        <f t="shared" si="173"/>
        <v>10.024855820451783</v>
      </c>
      <c r="CF117" s="27">
        <f t="shared" si="173"/>
        <v>-5.73757324535954</v>
      </c>
      <c r="CG117" s="27">
        <f t="shared" si="173"/>
        <v>35.67010079075901</v>
      </c>
      <c r="CH117" s="27">
        <f t="shared" si="173"/>
        <v>20.440115718601206</v>
      </c>
      <c r="CI117" s="194">
        <f t="shared" si="173"/>
        <v>57.99015313369742</v>
      </c>
      <c r="CJ117" s="195">
        <f t="shared" si="173"/>
        <v>2.225581132644705</v>
      </c>
      <c r="CK117" s="27">
        <f t="shared" si="173"/>
        <v>-18.24619681140469</v>
      </c>
      <c r="CL117" s="27">
        <f t="shared" si="173"/>
        <v>-28.528986688049496</v>
      </c>
      <c r="CM117" s="27">
        <f t="shared" si="173"/>
        <v>19.51847826058719</v>
      </c>
      <c r="CN117" s="27">
        <f t="shared" si="173"/>
        <v>4.502988563698285</v>
      </c>
      <c r="CO117" s="27">
        <f t="shared" si="173"/>
        <v>86.37663003481595</v>
      </c>
      <c r="CP117" s="27">
        <f t="shared" si="173"/>
        <v>49.61677894614094</v>
      </c>
      <c r="CQ117" s="27">
        <f t="shared" si="173"/>
        <v>10.942329521878836</v>
      </c>
      <c r="CR117" s="27">
        <f t="shared" si="173"/>
        <v>0.585581079293207</v>
      </c>
      <c r="CS117" s="27">
        <f t="shared" si="173"/>
        <v>69.843566832592</v>
      </c>
      <c r="CT117" s="27">
        <f t="shared" si="173"/>
        <v>39.001316346579664</v>
      </c>
      <c r="CU117" s="194">
        <f t="shared" si="173"/>
        <v>75.12109347107912</v>
      </c>
      <c r="CV117" s="27">
        <f aca="true" t="shared" si="174" ref="CV117:EA117">(POWER(CV89/CU89,12)-1)*100</f>
        <v>-37.016169458042526</v>
      </c>
      <c r="CW117" s="27">
        <f t="shared" si="174"/>
        <v>5.8820727522884475</v>
      </c>
      <c r="CX117" s="27">
        <f t="shared" si="174"/>
        <v>27.766076927434558</v>
      </c>
      <c r="CY117" s="27">
        <f t="shared" si="174"/>
        <v>36.77583827154041</v>
      </c>
      <c r="CZ117" s="27">
        <f t="shared" si="174"/>
        <v>-37.24780356702987</v>
      </c>
      <c r="DA117" s="27">
        <f t="shared" si="174"/>
        <v>-6.35268522667749</v>
      </c>
      <c r="DB117" s="197">
        <f t="shared" si="174"/>
        <v>0.775864650131286</v>
      </c>
      <c r="DC117" s="109">
        <f t="shared" si="174"/>
        <v>12.093126436950996</v>
      </c>
      <c r="DD117" s="103">
        <f t="shared" si="174"/>
        <v>-4.834501453601425</v>
      </c>
      <c r="DE117" s="103">
        <f t="shared" si="174"/>
        <v>10.051078184895035</v>
      </c>
      <c r="DF117" s="101">
        <f t="shared" si="174"/>
        <v>11.060259688635</v>
      </c>
      <c r="DG117" s="127">
        <f t="shared" si="174"/>
        <v>41.27234427518505</v>
      </c>
      <c r="DH117" s="104">
        <f t="shared" si="174"/>
        <v>6.114489682144986</v>
      </c>
      <c r="DI117" s="101">
        <f t="shared" si="174"/>
        <v>19.831774550143777</v>
      </c>
      <c r="DJ117" s="101">
        <f t="shared" si="174"/>
        <v>22.521403810722074</v>
      </c>
      <c r="DK117" s="109">
        <f t="shared" si="174"/>
        <v>84.94093272238652</v>
      </c>
      <c r="DL117" s="109">
        <f t="shared" si="174"/>
        <v>7.872693909872841</v>
      </c>
      <c r="DM117" s="109">
        <f t="shared" si="174"/>
        <v>21.989454748097394</v>
      </c>
      <c r="DN117" s="113">
        <f t="shared" si="174"/>
        <v>-6.882877252751285</v>
      </c>
      <c r="DO117" s="113">
        <f t="shared" si="174"/>
        <v>-19.30100809573335</v>
      </c>
      <c r="DP117" s="113">
        <f t="shared" si="174"/>
        <v>37.23840323511982</v>
      </c>
      <c r="DQ117" s="113">
        <f t="shared" si="174"/>
        <v>6.451644823877212</v>
      </c>
      <c r="DR117" s="113">
        <f t="shared" si="174"/>
        <v>0.31810449933569185</v>
      </c>
      <c r="DS117" s="137">
        <f t="shared" si="174"/>
        <v>39.80311496589981</v>
      </c>
      <c r="DT117" s="138">
        <f t="shared" si="174"/>
        <v>11.503903283412242</v>
      </c>
      <c r="DU117" s="113">
        <f t="shared" si="174"/>
        <v>-28.937021942877685</v>
      </c>
      <c r="DV117" s="113">
        <f t="shared" si="174"/>
        <v>6.0966404235504035</v>
      </c>
      <c r="DW117" s="113">
        <f t="shared" si="174"/>
        <v>18.0254322643159</v>
      </c>
      <c r="DX117" s="113">
        <f t="shared" si="174"/>
        <v>-25.039933170361007</v>
      </c>
      <c r="DY117" s="113">
        <f t="shared" si="174"/>
        <v>13.179384550972495</v>
      </c>
      <c r="DZ117" s="113">
        <f t="shared" si="174"/>
        <v>7.58912720745073</v>
      </c>
      <c r="EA117" s="113">
        <f t="shared" si="174"/>
        <v>-45.14552575859193</v>
      </c>
      <c r="EB117" s="113">
        <f aca="true" t="shared" si="175" ref="EB117:FO117">(POWER(EB89/EA89,12)-1)*100</f>
        <v>2.5446385381691305</v>
      </c>
      <c r="EC117" s="113">
        <f t="shared" si="175"/>
        <v>26.804513749388768</v>
      </c>
      <c r="ED117" s="103">
        <f t="shared" si="175"/>
        <v>-15.266005257999737</v>
      </c>
      <c r="EE117" s="131">
        <f t="shared" si="175"/>
        <v>51.59351141118967</v>
      </c>
      <c r="EF117" s="106">
        <f t="shared" si="175"/>
        <v>-45.694831679178904</v>
      </c>
      <c r="EG117" s="103">
        <f t="shared" si="175"/>
        <v>-16.890921790369983</v>
      </c>
      <c r="EH117" s="103">
        <f t="shared" si="175"/>
        <v>67.98333795735603</v>
      </c>
      <c r="EI117" s="103">
        <f t="shared" si="175"/>
        <v>7.294490876630499</v>
      </c>
      <c r="EJ117" s="103">
        <f t="shared" si="175"/>
        <v>21.7405093627248</v>
      </c>
      <c r="EK117" s="103">
        <f t="shared" si="175"/>
        <v>-14.054941905784302</v>
      </c>
      <c r="EL117" s="103">
        <f t="shared" si="175"/>
        <v>-24.935952485922673</v>
      </c>
      <c r="EM117" s="103">
        <f t="shared" si="175"/>
        <v>-26.501813972567156</v>
      </c>
      <c r="EN117" s="103">
        <f t="shared" si="175"/>
        <v>-5.916387979042015</v>
      </c>
      <c r="EO117" s="103">
        <f t="shared" si="175"/>
        <v>-4.2105335915099795</v>
      </c>
      <c r="EP117" s="103">
        <f t="shared" si="175"/>
        <v>-25.20576653811807</v>
      </c>
      <c r="EQ117" s="131">
        <f t="shared" si="175"/>
        <v>-10.569814511904463</v>
      </c>
      <c r="ER117" s="106">
        <f t="shared" si="175"/>
        <v>6.145020099008591</v>
      </c>
      <c r="ES117" s="103">
        <f t="shared" si="175"/>
        <v>31.478870898549637</v>
      </c>
      <c r="ET117" s="103">
        <f t="shared" si="175"/>
        <v>36.75403634965537</v>
      </c>
      <c r="EU117" s="103">
        <f t="shared" si="175"/>
        <v>20.964501573385764</v>
      </c>
      <c r="EV117" s="103">
        <f t="shared" si="175"/>
        <v>5.540706823169406</v>
      </c>
      <c r="EW117" s="103">
        <f t="shared" si="175"/>
        <v>-10.014317958493258</v>
      </c>
      <c r="EX117" s="103">
        <f t="shared" si="175"/>
        <v>16.484981228723505</v>
      </c>
      <c r="EY117" s="103">
        <f t="shared" si="175"/>
        <v>9.719099061692106</v>
      </c>
      <c r="EZ117" s="103">
        <f t="shared" si="175"/>
        <v>3.002594405850445</v>
      </c>
      <c r="FA117" s="103">
        <f t="shared" si="175"/>
        <v>-8.404478124412918</v>
      </c>
      <c r="FB117" s="103">
        <f t="shared" si="175"/>
        <v>-12.810648455640806</v>
      </c>
      <c r="FC117" s="131">
        <f t="shared" si="175"/>
        <v>10.422746107080538</v>
      </c>
      <c r="FD117" s="368">
        <f t="shared" si="175"/>
        <v>4.855057616734193</v>
      </c>
      <c r="FE117" s="368">
        <f t="shared" si="175"/>
        <v>-5.371864705630303</v>
      </c>
      <c r="FF117" s="368">
        <f t="shared" si="175"/>
        <v>1.8489202510169722</v>
      </c>
      <c r="FG117" s="368">
        <f t="shared" si="175"/>
        <v>-20.46446222319095</v>
      </c>
      <c r="FH117" s="368">
        <f t="shared" si="175"/>
        <v>8.392053849837433</v>
      </c>
      <c r="FI117" s="368">
        <f t="shared" si="175"/>
        <v>7.487330162289618</v>
      </c>
      <c r="FJ117" s="368">
        <f t="shared" si="175"/>
        <v>15.133681853205939</v>
      </c>
      <c r="FK117" s="368">
        <f t="shared" si="175"/>
        <v>-11.771516974284879</v>
      </c>
      <c r="FL117" s="368">
        <f t="shared" si="175"/>
        <v>-7.465981739863459</v>
      </c>
      <c r="FM117" s="368">
        <f t="shared" si="175"/>
        <v>-1.9372869984151553</v>
      </c>
      <c r="FN117" s="368">
        <f t="shared" si="175"/>
        <v>21.06617978997083</v>
      </c>
      <c r="FO117" s="368">
        <f t="shared" si="175"/>
        <v>2.8943193081194085</v>
      </c>
      <c r="FP117" s="368">
        <f aca="true" t="shared" si="176" ref="FP117:FV117">(POWER(FP89/FO89,12)-1)*100</f>
        <v>-13.413578224660561</v>
      </c>
      <c r="FQ117" s="368">
        <f t="shared" si="176"/>
        <v>-15.559325308768656</v>
      </c>
      <c r="FR117" s="131">
        <f t="shared" si="176"/>
        <v>-19.045697763354553</v>
      </c>
      <c r="FS117" s="131">
        <f t="shared" si="176"/>
        <v>7.259795945842518</v>
      </c>
      <c r="FT117" s="131">
        <f t="shared" si="176"/>
        <v>3.5956876996199316</v>
      </c>
      <c r="FU117" s="131">
        <f t="shared" si="176"/>
        <v>19.380930753511507</v>
      </c>
      <c r="FV117" s="131">
        <f t="shared" si="176"/>
        <v>18.128087138002712</v>
      </c>
      <c r="FW117" s="131">
        <f aca="true" t="shared" si="177" ref="FW117:FY118">(POWER(FW89/FV89,12)-1)*100</f>
        <v>9.042606695268063</v>
      </c>
      <c r="FX117" s="131">
        <f t="shared" si="177"/>
        <v>32.27919173605955</v>
      </c>
      <c r="FY117" s="131">
        <f>(POWER(FY89/FX89,12)-1)*100</f>
        <v>-10.26351840242381</v>
      </c>
      <c r="FZ117" s="131">
        <f>(POWER(FZ89/FY89,12)-1)*100</f>
        <v>8.002060041466375</v>
      </c>
      <c r="GA117" s="131">
        <f>(POWER(GA89/FZ89,12)-1)*100</f>
        <v>24.013850571170046</v>
      </c>
      <c r="GB117" s="441">
        <f>(POWER(GB89/GA89,12)-1)*100</f>
        <v>-30.126663121952568</v>
      </c>
      <c r="GC117" s="441">
        <f>(POWER(GC89/GB89,12)-1)*100</f>
        <v>-0.48322836874679087</v>
      </c>
      <c r="GD117" s="63"/>
    </row>
    <row r="118" spans="1:186" ht="15" customHeight="1">
      <c r="A118" s="3"/>
      <c r="B118" s="117" t="s">
        <v>9</v>
      </c>
      <c r="C118" s="19"/>
      <c r="D118" s="36">
        <f aca="true" t="shared" si="178" ref="D118:AI118">(POWER(D90/C90,12)-1)*100</f>
        <v>127.14839496644564</v>
      </c>
      <c r="E118" s="36">
        <f t="shared" si="178"/>
        <v>43.16846475481606</v>
      </c>
      <c r="F118" s="36">
        <f t="shared" si="178"/>
        <v>42.115541097121366</v>
      </c>
      <c r="G118" s="36">
        <f t="shared" si="178"/>
        <v>71.20880659314068</v>
      </c>
      <c r="H118" s="36">
        <f t="shared" si="178"/>
        <v>41.20879325015312</v>
      </c>
      <c r="I118" s="36">
        <f t="shared" si="178"/>
        <v>140.4866327306626</v>
      </c>
      <c r="J118" s="36">
        <f t="shared" si="178"/>
        <v>33.00320113566049</v>
      </c>
      <c r="K118" s="36">
        <f t="shared" si="178"/>
        <v>53.017194084542794</v>
      </c>
      <c r="L118" s="36">
        <f t="shared" si="178"/>
        <v>9.00708247941051</v>
      </c>
      <c r="M118" s="36">
        <f t="shared" si="178"/>
        <v>-20.688692143415278</v>
      </c>
      <c r="N118" s="36">
        <f t="shared" si="178"/>
        <v>44.20614907037812</v>
      </c>
      <c r="O118" s="37">
        <f t="shared" si="178"/>
        <v>1217.0868938055225</v>
      </c>
      <c r="P118" s="35">
        <f t="shared" si="178"/>
        <v>23.803911070067407</v>
      </c>
      <c r="Q118" s="36">
        <f t="shared" si="178"/>
        <v>49.48707235304774</v>
      </c>
      <c r="R118" s="36">
        <f t="shared" si="178"/>
        <v>97.2056272996608</v>
      </c>
      <c r="S118" s="36">
        <f t="shared" si="178"/>
        <v>7.451806300537767</v>
      </c>
      <c r="T118" s="36">
        <f t="shared" si="178"/>
        <v>14.517262275090538</v>
      </c>
      <c r="U118" s="36">
        <f t="shared" si="178"/>
        <v>-7.986725192288658</v>
      </c>
      <c r="V118" s="36">
        <f t="shared" si="178"/>
        <v>23.422214013070295</v>
      </c>
      <c r="W118" s="36">
        <f t="shared" si="178"/>
        <v>-48.63448376724686</v>
      </c>
      <c r="X118" s="36">
        <f t="shared" si="178"/>
        <v>-11.943966508178983</v>
      </c>
      <c r="Y118" s="36">
        <f t="shared" si="178"/>
        <v>123.9420837720898</v>
      </c>
      <c r="Z118" s="36">
        <f t="shared" si="178"/>
        <v>-49.562950751608255</v>
      </c>
      <c r="AA118" s="37">
        <f t="shared" si="178"/>
        <v>236.4310211590287</v>
      </c>
      <c r="AB118" s="35">
        <f t="shared" si="178"/>
        <v>59.55556535206761</v>
      </c>
      <c r="AC118" s="36">
        <f t="shared" si="178"/>
        <v>53.960555568572445</v>
      </c>
      <c r="AD118" s="36">
        <f t="shared" si="178"/>
        <v>90.74614765443243</v>
      </c>
      <c r="AE118" s="36">
        <f t="shared" si="178"/>
        <v>10.61505609133022</v>
      </c>
      <c r="AF118" s="36">
        <f t="shared" si="178"/>
        <v>22.392807016096803</v>
      </c>
      <c r="AG118" s="36">
        <f t="shared" si="178"/>
        <v>28.17574110667753</v>
      </c>
      <c r="AH118" s="36">
        <f t="shared" si="178"/>
        <v>141.6293805178079</v>
      </c>
      <c r="AI118" s="36">
        <f t="shared" si="178"/>
        <v>47.63447163534815</v>
      </c>
      <c r="AJ118" s="36">
        <f aca="true" t="shared" si="179" ref="AJ118:BO118">(POWER(AJ90/AI90,12)-1)*100</f>
        <v>-16.815723243394253</v>
      </c>
      <c r="AK118" s="36">
        <f t="shared" si="179"/>
        <v>27.61355728809125</v>
      </c>
      <c r="AL118" s="36">
        <f t="shared" si="179"/>
        <v>7.624390650977841</v>
      </c>
      <c r="AM118" s="37">
        <f t="shared" si="179"/>
        <v>131.19333495486168</v>
      </c>
      <c r="AN118" s="26">
        <f t="shared" si="179"/>
        <v>-81.32683322042692</v>
      </c>
      <c r="AO118" s="27">
        <f t="shared" si="179"/>
        <v>13.320354968341919</v>
      </c>
      <c r="AP118" s="27">
        <f t="shared" si="179"/>
        <v>10.589079849739914</v>
      </c>
      <c r="AQ118" s="27">
        <f t="shared" si="179"/>
        <v>34.49520519293876</v>
      </c>
      <c r="AR118" s="27">
        <f t="shared" si="179"/>
        <v>-47.331248957300545</v>
      </c>
      <c r="AS118" s="27">
        <f t="shared" si="179"/>
        <v>51.86352049980911</v>
      </c>
      <c r="AT118" s="27">
        <f t="shared" si="179"/>
        <v>63.51401377669652</v>
      </c>
      <c r="AU118" s="27">
        <f t="shared" si="179"/>
        <v>54.70779324330153</v>
      </c>
      <c r="AV118" s="27">
        <f t="shared" si="179"/>
        <v>247.94589292097135</v>
      </c>
      <c r="AW118" s="27">
        <f t="shared" si="179"/>
        <v>61.668440529057975</v>
      </c>
      <c r="AX118" s="27">
        <f t="shared" si="179"/>
        <v>4.0661907791102125</v>
      </c>
      <c r="AY118" s="194">
        <f t="shared" si="179"/>
        <v>412.80573025743524</v>
      </c>
      <c r="AZ118" s="27">
        <f t="shared" si="179"/>
        <v>3.6660712857457867</v>
      </c>
      <c r="BA118" s="27">
        <f t="shared" si="179"/>
        <v>-53.86527201134466</v>
      </c>
      <c r="BB118" s="27">
        <f t="shared" si="179"/>
        <v>30.100844317455078</v>
      </c>
      <c r="BC118" s="27">
        <f t="shared" si="179"/>
        <v>8.163511436571724</v>
      </c>
      <c r="BD118" s="27">
        <f t="shared" si="179"/>
        <v>25.536162795500882</v>
      </c>
      <c r="BE118" s="27">
        <f t="shared" si="179"/>
        <v>129.0883932976857</v>
      </c>
      <c r="BF118" s="27">
        <f t="shared" si="179"/>
        <v>73.9012174769095</v>
      </c>
      <c r="BG118" s="27">
        <f t="shared" si="179"/>
        <v>51.76166123968557</v>
      </c>
      <c r="BH118" s="27">
        <f t="shared" si="179"/>
        <v>87.1726601870279</v>
      </c>
      <c r="BI118" s="27">
        <f t="shared" si="179"/>
        <v>-37.291045825134816</v>
      </c>
      <c r="BJ118" s="27">
        <f t="shared" si="179"/>
        <v>132.95328065749544</v>
      </c>
      <c r="BK118" s="194">
        <f t="shared" si="179"/>
        <v>59.927268154950355</v>
      </c>
      <c r="BL118" s="195">
        <f t="shared" si="179"/>
        <v>53.36990359362541</v>
      </c>
      <c r="BM118" s="27">
        <f t="shared" si="179"/>
        <v>61.35946213121826</v>
      </c>
      <c r="BN118" s="27">
        <f t="shared" si="179"/>
        <v>-19.79694949879055</v>
      </c>
      <c r="BO118" s="27">
        <f t="shared" si="179"/>
        <v>-7.8791990487634305</v>
      </c>
      <c r="BP118" s="27">
        <f aca="true" t="shared" si="180" ref="BP118:CU118">(POWER(BP90/BO90,12)-1)*100</f>
        <v>7.990741845842164</v>
      </c>
      <c r="BQ118" s="27">
        <f t="shared" si="180"/>
        <v>31.53988021080798</v>
      </c>
      <c r="BR118" s="27">
        <f t="shared" si="180"/>
        <v>36.6164154699149</v>
      </c>
      <c r="BS118" s="27">
        <f t="shared" si="180"/>
        <v>30.99428218314879</v>
      </c>
      <c r="BT118" s="27">
        <f t="shared" si="180"/>
        <v>160.24805884883943</v>
      </c>
      <c r="BU118" s="27">
        <f t="shared" si="180"/>
        <v>-1.7172506829169376</v>
      </c>
      <c r="BV118" s="27">
        <f t="shared" si="180"/>
        <v>28.03150908083749</v>
      </c>
      <c r="BW118" s="194">
        <f t="shared" si="180"/>
        <v>54.76602899642869</v>
      </c>
      <c r="BX118" s="195">
        <f t="shared" si="180"/>
        <v>22.437347907476692</v>
      </c>
      <c r="BY118" s="27">
        <f t="shared" si="180"/>
        <v>45.06415196463722</v>
      </c>
      <c r="BZ118" s="27">
        <f t="shared" si="180"/>
        <v>48.578969422622876</v>
      </c>
      <c r="CA118" s="27">
        <f t="shared" si="180"/>
        <v>59.66878490654124</v>
      </c>
      <c r="CB118" s="27">
        <f t="shared" si="180"/>
        <v>52.279355576807916</v>
      </c>
      <c r="CC118" s="27">
        <f t="shared" si="180"/>
        <v>85.37388232928815</v>
      </c>
      <c r="CD118" s="27">
        <f t="shared" si="180"/>
        <v>0.4952928085079744</v>
      </c>
      <c r="CE118" s="27">
        <f t="shared" si="180"/>
        <v>11.615145902401647</v>
      </c>
      <c r="CF118" s="27">
        <f t="shared" si="180"/>
        <v>-3.661280504784026</v>
      </c>
      <c r="CG118" s="27">
        <f t="shared" si="180"/>
        <v>25.81237152194591</v>
      </c>
      <c r="CH118" s="27">
        <f t="shared" si="180"/>
        <v>20.614868918964092</v>
      </c>
      <c r="CI118" s="194">
        <f t="shared" si="180"/>
        <v>55.62156976030439</v>
      </c>
      <c r="CJ118" s="195">
        <f t="shared" si="180"/>
        <v>8.737460552228725</v>
      </c>
      <c r="CK118" s="27">
        <f t="shared" si="180"/>
        <v>-19.17079991391094</v>
      </c>
      <c r="CL118" s="27">
        <f t="shared" si="180"/>
        <v>-22.998524594618008</v>
      </c>
      <c r="CM118" s="27">
        <f t="shared" si="180"/>
        <v>18.004290753127794</v>
      </c>
      <c r="CN118" s="27">
        <f t="shared" si="180"/>
        <v>7.0410924444379575</v>
      </c>
      <c r="CO118" s="27">
        <f t="shared" si="180"/>
        <v>70.83096195511158</v>
      </c>
      <c r="CP118" s="27">
        <f t="shared" si="180"/>
        <v>49.282206621207706</v>
      </c>
      <c r="CQ118" s="27">
        <f t="shared" si="180"/>
        <v>13.57119766101702</v>
      </c>
      <c r="CR118" s="27">
        <f t="shared" si="180"/>
        <v>-0.2576606662092029</v>
      </c>
      <c r="CS118" s="27">
        <f t="shared" si="180"/>
        <v>44.72534567443822</v>
      </c>
      <c r="CT118" s="27">
        <f t="shared" si="180"/>
        <v>37.959754491617126</v>
      </c>
      <c r="CU118" s="194">
        <f t="shared" si="180"/>
        <v>72.46808171943859</v>
      </c>
      <c r="CV118" s="27">
        <f aca="true" t="shared" si="181" ref="CV118:EA118">(POWER(CV90/CU90,12)-1)*100</f>
        <v>-32.11880061947724</v>
      </c>
      <c r="CW118" s="27">
        <f t="shared" si="181"/>
        <v>10.652511530297737</v>
      </c>
      <c r="CX118" s="27">
        <f t="shared" si="181"/>
        <v>29.981477280000647</v>
      </c>
      <c r="CY118" s="27">
        <f t="shared" si="181"/>
        <v>29.994237082746356</v>
      </c>
      <c r="CZ118" s="27">
        <f t="shared" si="181"/>
        <v>-32.665243105993824</v>
      </c>
      <c r="DA118" s="27">
        <f t="shared" si="181"/>
        <v>-0.7051880768704999</v>
      </c>
      <c r="DB118" s="197">
        <f t="shared" si="181"/>
        <v>4.103471323691088</v>
      </c>
      <c r="DC118" s="109">
        <f t="shared" si="181"/>
        <v>16.71352816778493</v>
      </c>
      <c r="DD118" s="103">
        <f t="shared" si="181"/>
        <v>-0.4963658557065931</v>
      </c>
      <c r="DE118" s="103">
        <f t="shared" si="181"/>
        <v>10.076326539979252</v>
      </c>
      <c r="DF118" s="101">
        <f t="shared" si="181"/>
        <v>6.053697459404006</v>
      </c>
      <c r="DG118" s="127">
        <f t="shared" si="181"/>
        <v>42.50514661183311</v>
      </c>
      <c r="DH118" s="104">
        <f t="shared" si="181"/>
        <v>5.092195208853156</v>
      </c>
      <c r="DI118" s="101">
        <f t="shared" si="181"/>
        <v>25.207742456709514</v>
      </c>
      <c r="DJ118" s="101">
        <f t="shared" si="181"/>
        <v>21.30930789275036</v>
      </c>
      <c r="DK118" s="109">
        <f t="shared" si="181"/>
        <v>69.78866537433018</v>
      </c>
      <c r="DL118" s="109">
        <f t="shared" si="181"/>
        <v>8.983700156778962</v>
      </c>
      <c r="DM118" s="109">
        <f t="shared" si="181"/>
        <v>25.549650593508176</v>
      </c>
      <c r="DN118" s="113">
        <f t="shared" si="181"/>
        <v>-6.578737862840511</v>
      </c>
      <c r="DO118" s="113">
        <f t="shared" si="181"/>
        <v>-13.594663449984568</v>
      </c>
      <c r="DP118" s="113">
        <f t="shared" si="181"/>
        <v>32.91405872830406</v>
      </c>
      <c r="DQ118" s="113">
        <f t="shared" si="181"/>
        <v>6.6426139814285134</v>
      </c>
      <c r="DR118" s="113">
        <f t="shared" si="181"/>
        <v>2.3365495294695338</v>
      </c>
      <c r="DS118" s="137">
        <f t="shared" si="181"/>
        <v>39.325556483919954</v>
      </c>
      <c r="DT118" s="138">
        <f t="shared" si="181"/>
        <v>12.182839161724669</v>
      </c>
      <c r="DU118" s="113">
        <f t="shared" si="181"/>
        <v>-22.83747180641864</v>
      </c>
      <c r="DV118" s="113">
        <f t="shared" si="181"/>
        <v>2.6780233357645455</v>
      </c>
      <c r="DW118" s="113">
        <f t="shared" si="181"/>
        <v>16.94555365908148</v>
      </c>
      <c r="DX118" s="113">
        <f t="shared" si="181"/>
        <v>-18.705568929519735</v>
      </c>
      <c r="DY118" s="113">
        <f t="shared" si="181"/>
        <v>1.7629325253231798</v>
      </c>
      <c r="DZ118" s="113">
        <f t="shared" si="181"/>
        <v>9.857532643903566</v>
      </c>
      <c r="EA118" s="113">
        <f t="shared" si="181"/>
        <v>-11.107056231515578</v>
      </c>
      <c r="EB118" s="113">
        <f aca="true" t="shared" si="182" ref="EB118:FQ118">(POWER(EB90/EA90,12)-1)*100</f>
        <v>15.59636200181087</v>
      </c>
      <c r="EC118" s="113">
        <f t="shared" si="182"/>
        <v>22.8356806810454</v>
      </c>
      <c r="ED118" s="103">
        <f t="shared" si="182"/>
        <v>-12.074465285159786</v>
      </c>
      <c r="EE118" s="131">
        <f t="shared" si="182"/>
        <v>43.75522684122672</v>
      </c>
      <c r="EF118" s="106">
        <f t="shared" si="182"/>
        <v>-39.03962553820375</v>
      </c>
      <c r="EG118" s="103">
        <f t="shared" si="182"/>
        <v>-14.139169356863125</v>
      </c>
      <c r="EH118" s="103">
        <f t="shared" si="182"/>
        <v>50.54319170608199</v>
      </c>
      <c r="EI118" s="103">
        <f t="shared" si="182"/>
        <v>7.4904959991448195</v>
      </c>
      <c r="EJ118" s="103">
        <f t="shared" si="182"/>
        <v>16.406238628989843</v>
      </c>
      <c r="EK118" s="103">
        <f t="shared" si="182"/>
        <v>-12.361577115311706</v>
      </c>
      <c r="EL118" s="103">
        <f t="shared" si="182"/>
        <v>-21.35018238157401</v>
      </c>
      <c r="EM118" s="103">
        <f t="shared" si="182"/>
        <v>-26.041308200918255</v>
      </c>
      <c r="EN118" s="103">
        <f t="shared" si="182"/>
        <v>-6.743482143140733</v>
      </c>
      <c r="EO118" s="103">
        <f t="shared" si="182"/>
        <v>-5.812650786553675</v>
      </c>
      <c r="EP118" s="103">
        <f t="shared" si="182"/>
        <v>-22.888782672795315</v>
      </c>
      <c r="EQ118" s="131">
        <f t="shared" si="182"/>
        <v>-4.82386516888289</v>
      </c>
      <c r="ER118" s="106">
        <f t="shared" si="182"/>
        <v>-0.6807169641185329</v>
      </c>
      <c r="ES118" s="103">
        <f t="shared" si="182"/>
        <v>19.677968465145224</v>
      </c>
      <c r="ET118" s="103">
        <f t="shared" si="182"/>
        <v>25.49759728082115</v>
      </c>
      <c r="EU118" s="103">
        <f t="shared" si="182"/>
        <v>21.028161658557053</v>
      </c>
      <c r="EV118" s="103">
        <f t="shared" si="182"/>
        <v>6.492375278985518</v>
      </c>
      <c r="EW118" s="103">
        <f t="shared" si="182"/>
        <v>-6.368939856522992</v>
      </c>
      <c r="EX118" s="103">
        <f t="shared" si="182"/>
        <v>12.306174697164817</v>
      </c>
      <c r="EY118" s="103">
        <f t="shared" si="182"/>
        <v>6.0386758367484195</v>
      </c>
      <c r="EZ118" s="103">
        <f t="shared" si="182"/>
        <v>5.64942474010699</v>
      </c>
      <c r="FA118" s="103">
        <f t="shared" si="182"/>
        <v>-4.400947431509838</v>
      </c>
      <c r="FB118" s="103">
        <f t="shared" si="182"/>
        <v>-12.176846384302086</v>
      </c>
      <c r="FC118" s="131">
        <f t="shared" si="182"/>
        <v>13.787654700130926</v>
      </c>
      <c r="FD118" s="368">
        <f t="shared" si="182"/>
        <v>5.002037723388519</v>
      </c>
      <c r="FE118" s="368">
        <f t="shared" si="182"/>
        <v>-4.581948732423536</v>
      </c>
      <c r="FF118" s="368">
        <f t="shared" si="182"/>
        <v>-3.497849598513425</v>
      </c>
      <c r="FG118" s="368">
        <f t="shared" si="182"/>
        <v>-16.10511211075344</v>
      </c>
      <c r="FH118" s="368">
        <f t="shared" si="182"/>
        <v>6.464066014822256</v>
      </c>
      <c r="FI118" s="368">
        <f t="shared" si="182"/>
        <v>8.150488836671709</v>
      </c>
      <c r="FJ118" s="368">
        <f t="shared" si="182"/>
        <v>16.787827097011476</v>
      </c>
      <c r="FK118" s="368">
        <f t="shared" si="182"/>
        <v>-5.097669280560546</v>
      </c>
      <c r="FL118" s="368">
        <f t="shared" si="182"/>
        <v>-7.789962125931438</v>
      </c>
      <c r="FM118" s="368">
        <f t="shared" si="182"/>
        <v>-1.4806075284166553</v>
      </c>
      <c r="FN118" s="368">
        <f t="shared" si="182"/>
        <v>16.525231614985024</v>
      </c>
      <c r="FO118" s="368">
        <f t="shared" si="182"/>
        <v>9.664761085573105</v>
      </c>
      <c r="FP118" s="368">
        <f t="shared" si="182"/>
        <v>-12.360436713163415</v>
      </c>
      <c r="FQ118" s="368">
        <f t="shared" si="182"/>
        <v>-10.585614473152404</v>
      </c>
      <c r="FR118" s="368">
        <f>(POWER(FR90/FQ90,12)-1)*100</f>
        <v>-14.847038156857595</v>
      </c>
      <c r="FS118" s="368">
        <f>(POWER(FS90/FR90,12)-1)*100</f>
        <v>2.796680262626894</v>
      </c>
      <c r="FT118" s="368">
        <f>(POWER(FT90/FS90,12)-1)*100</f>
        <v>4.132810237301987</v>
      </c>
      <c r="FU118" s="368">
        <f>(POWER(FU90/FT90,12)-1)*100</f>
        <v>18.72711708277206</v>
      </c>
      <c r="FV118" s="368">
        <f>(POWER(FV90/FU90,12)-1)*100</f>
        <v>16.172756061350356</v>
      </c>
      <c r="FW118" s="368">
        <f t="shared" si="177"/>
        <v>12.948061963226909</v>
      </c>
      <c r="FX118" s="368">
        <f t="shared" si="177"/>
        <v>27.722900080674062</v>
      </c>
      <c r="FY118" s="368">
        <f t="shared" si="177"/>
        <v>-7.385720950711283</v>
      </c>
      <c r="FZ118" s="368">
        <f>(POWER(FZ90/FY90,12)-1)*100</f>
        <v>7.21746410215911</v>
      </c>
      <c r="GA118" s="368">
        <f>(POWER(GA90/FZ90,12)-1)*100</f>
        <v>23.77963168834558</v>
      </c>
      <c r="GB118" s="372">
        <f>(POWER(GB90/GA90,12)-1)*100</f>
        <v>-22.871962472701</v>
      </c>
      <c r="GC118" s="372">
        <f>(POWER(GC90/GB90,12)-1)*100</f>
        <v>0.432741286577909</v>
      </c>
      <c r="GD118" s="63"/>
    </row>
    <row r="119" spans="1:186" ht="15" customHeight="1">
      <c r="A119" s="3"/>
      <c r="B119" s="198" t="s">
        <v>7</v>
      </c>
      <c r="C119" s="19" t="e">
        <f>((C51/#REF!)-1)*100</f>
        <v>#REF!</v>
      </c>
      <c r="D119" s="35">
        <f aca="true" t="shared" si="183" ref="D119:AI119">(POWER(D51/C51,12)-1)*100</f>
        <v>264.40717895951656</v>
      </c>
      <c r="E119" s="36">
        <f t="shared" si="183"/>
        <v>4809.793840810361</v>
      </c>
      <c r="F119" s="36">
        <f t="shared" si="183"/>
        <v>-77.59748902758928</v>
      </c>
      <c r="G119" s="36">
        <f t="shared" si="183"/>
        <v>1320.727207431897</v>
      </c>
      <c r="H119" s="36">
        <f t="shared" si="183"/>
        <v>1772.2917627032991</v>
      </c>
      <c r="I119" s="36">
        <f t="shared" si="183"/>
        <v>303.9150818551601</v>
      </c>
      <c r="J119" s="36">
        <f t="shared" si="183"/>
        <v>4764.062545391498</v>
      </c>
      <c r="K119" s="36">
        <f t="shared" si="183"/>
        <v>14.052985914009387</v>
      </c>
      <c r="L119" s="36">
        <f t="shared" si="183"/>
        <v>391.13588133782844</v>
      </c>
      <c r="M119" s="36">
        <f t="shared" si="183"/>
        <v>-58.66518377152572</v>
      </c>
      <c r="N119" s="36">
        <f t="shared" si="183"/>
        <v>790.0631182196088</v>
      </c>
      <c r="O119" s="37">
        <f t="shared" si="183"/>
        <v>978.1255101813015</v>
      </c>
      <c r="P119" s="35">
        <f t="shared" si="183"/>
        <v>763.7273962459483</v>
      </c>
      <c r="Q119" s="36">
        <f t="shared" si="183"/>
        <v>161.0481444929617</v>
      </c>
      <c r="R119" s="36">
        <f t="shared" si="183"/>
        <v>59.45510703758883</v>
      </c>
      <c r="S119" s="36">
        <f t="shared" si="183"/>
        <v>-74.62232437169848</v>
      </c>
      <c r="T119" s="36">
        <f t="shared" si="183"/>
        <v>265.68845393566187</v>
      </c>
      <c r="U119" s="36">
        <f t="shared" si="183"/>
        <v>-39.54394159444008</v>
      </c>
      <c r="V119" s="36">
        <f t="shared" si="183"/>
        <v>1.4016036893854666</v>
      </c>
      <c r="W119" s="36">
        <f t="shared" si="183"/>
        <v>-49.80920453590571</v>
      </c>
      <c r="X119" s="36">
        <f t="shared" si="183"/>
        <v>209.38697677062734</v>
      </c>
      <c r="Y119" s="36">
        <f t="shared" si="183"/>
        <v>169.78391177921236</v>
      </c>
      <c r="Z119" s="36">
        <f t="shared" si="183"/>
        <v>109.89189403333013</v>
      </c>
      <c r="AA119" s="37">
        <f t="shared" si="183"/>
        <v>409.21569862632106</v>
      </c>
      <c r="AB119" s="35">
        <f t="shared" si="183"/>
        <v>38.41161690400343</v>
      </c>
      <c r="AC119" s="36">
        <f t="shared" si="183"/>
        <v>43.34851815449427</v>
      </c>
      <c r="AD119" s="36">
        <f t="shared" si="183"/>
        <v>45.829042052002244</v>
      </c>
      <c r="AE119" s="36">
        <f t="shared" si="183"/>
        <v>38.96521735738978</v>
      </c>
      <c r="AF119" s="36">
        <f t="shared" si="183"/>
        <v>-9.793341506878072</v>
      </c>
      <c r="AG119" s="36">
        <f t="shared" si="183"/>
        <v>-39.30893170470602</v>
      </c>
      <c r="AH119" s="36">
        <f t="shared" si="183"/>
        <v>12.66538648264186</v>
      </c>
      <c r="AI119" s="36">
        <f t="shared" si="183"/>
        <v>196.21463901411076</v>
      </c>
      <c r="AJ119" s="36">
        <f aca="true" t="shared" si="184" ref="AJ119:BO119">(POWER(AJ51/AI51,12)-1)*100</f>
        <v>25.57579090824207</v>
      </c>
      <c r="AK119" s="36">
        <f t="shared" si="184"/>
        <v>16.301512080075973</v>
      </c>
      <c r="AL119" s="36">
        <f t="shared" si="184"/>
        <v>-62.970450040041094</v>
      </c>
      <c r="AM119" s="37">
        <f t="shared" si="184"/>
        <v>2375.6069331261165</v>
      </c>
      <c r="AN119" s="26">
        <f t="shared" si="184"/>
        <v>-44.25535598699969</v>
      </c>
      <c r="AO119" s="26">
        <f t="shared" si="184"/>
        <v>-66.91698955400864</v>
      </c>
      <c r="AP119" s="27">
        <f t="shared" si="184"/>
        <v>14.572709479173596</v>
      </c>
      <c r="AQ119" s="26">
        <f t="shared" si="184"/>
        <v>210.33819196274942</v>
      </c>
      <c r="AR119" s="26">
        <f t="shared" si="184"/>
        <v>42.45729238873448</v>
      </c>
      <c r="AS119" s="26">
        <f t="shared" si="184"/>
        <v>45.13478901168892</v>
      </c>
      <c r="AT119" s="26">
        <f t="shared" si="184"/>
        <v>223.381090587162</v>
      </c>
      <c r="AU119" s="26">
        <f t="shared" si="184"/>
        <v>14.605902053680154</v>
      </c>
      <c r="AV119" s="26">
        <f t="shared" si="184"/>
        <v>-13.999153223456972</v>
      </c>
      <c r="AW119" s="27">
        <f t="shared" si="184"/>
        <v>68.44292465741329</v>
      </c>
      <c r="AX119" s="27">
        <f t="shared" si="184"/>
        <v>128.66648697712253</v>
      </c>
      <c r="AY119" s="194">
        <f t="shared" si="184"/>
        <v>497.2000574206124</v>
      </c>
      <c r="AZ119" s="27">
        <f t="shared" si="184"/>
        <v>9.903815189819376</v>
      </c>
      <c r="BA119" s="27">
        <f t="shared" si="184"/>
        <v>32.09823766247608</v>
      </c>
      <c r="BB119" s="27">
        <f t="shared" si="184"/>
        <v>97.14284400605473</v>
      </c>
      <c r="BC119" s="27">
        <f t="shared" si="184"/>
        <v>18.35306881512335</v>
      </c>
      <c r="BD119" s="27">
        <f t="shared" si="184"/>
        <v>172.87275617354294</v>
      </c>
      <c r="BE119" s="27">
        <f t="shared" si="184"/>
        <v>12.040862113417505</v>
      </c>
      <c r="BF119" s="27">
        <f t="shared" si="184"/>
        <v>36.727248420323</v>
      </c>
      <c r="BG119" s="27">
        <f t="shared" si="184"/>
        <v>-29.467247188396883</v>
      </c>
      <c r="BH119" s="27">
        <f t="shared" si="184"/>
        <v>329.653976634959</v>
      </c>
      <c r="BI119" s="27">
        <f t="shared" si="184"/>
        <v>-36.75408993018362</v>
      </c>
      <c r="BJ119" s="27">
        <f t="shared" si="184"/>
        <v>107.12802052975077</v>
      </c>
      <c r="BK119" s="194">
        <f t="shared" si="184"/>
        <v>207.69057703043873</v>
      </c>
      <c r="BL119" s="195">
        <f t="shared" si="184"/>
        <v>-60.514649790420826</v>
      </c>
      <c r="BM119" s="27">
        <f t="shared" si="184"/>
        <v>-55.09032759225509</v>
      </c>
      <c r="BN119" s="27">
        <f t="shared" si="184"/>
        <v>-38.67355058334533</v>
      </c>
      <c r="BO119" s="27">
        <f t="shared" si="184"/>
        <v>-11.981495205395476</v>
      </c>
      <c r="BP119" s="27">
        <f aca="true" t="shared" si="185" ref="BP119:CU119">(POWER(BP51/BO51,12)-1)*100</f>
        <v>-14.737957992589468</v>
      </c>
      <c r="BQ119" s="27">
        <f t="shared" si="185"/>
        <v>23.94122536401597</v>
      </c>
      <c r="BR119" s="27">
        <f t="shared" si="185"/>
        <v>65.69718351316108</v>
      </c>
      <c r="BS119" s="27">
        <f t="shared" si="185"/>
        <v>-29.406670583482285</v>
      </c>
      <c r="BT119" s="27">
        <f t="shared" si="185"/>
        <v>-44.90079613463524</v>
      </c>
      <c r="BU119" s="27">
        <f t="shared" si="185"/>
        <v>130.13223735001412</v>
      </c>
      <c r="BV119" s="27">
        <f t="shared" si="185"/>
        <v>71.53820578242164</v>
      </c>
      <c r="BW119" s="194">
        <f t="shared" si="185"/>
        <v>-9.34567359719356</v>
      </c>
      <c r="BX119" s="195">
        <f t="shared" si="185"/>
        <v>25.159231352886824</v>
      </c>
      <c r="BY119" s="27">
        <f t="shared" si="185"/>
        <v>-34.683613324182886</v>
      </c>
      <c r="BZ119" s="27">
        <f t="shared" si="185"/>
        <v>-23.496898023980417</v>
      </c>
      <c r="CA119" s="27">
        <f t="shared" si="185"/>
        <v>14.489780836990306</v>
      </c>
      <c r="CB119" s="27">
        <f t="shared" si="185"/>
        <v>-44.84394572223379</v>
      </c>
      <c r="CC119" s="27">
        <f t="shared" si="185"/>
        <v>37.88077499229709</v>
      </c>
      <c r="CD119" s="27">
        <f t="shared" si="185"/>
        <v>11.590578685219954</v>
      </c>
      <c r="CE119" s="27">
        <f t="shared" si="185"/>
        <v>11.999836242174645</v>
      </c>
      <c r="CF119" s="27">
        <f t="shared" si="185"/>
        <v>120.88880755941021</v>
      </c>
      <c r="CG119" s="27">
        <f t="shared" si="185"/>
        <v>11.982006249318333</v>
      </c>
      <c r="CH119" s="27">
        <f t="shared" si="185"/>
        <v>28.21484045328655</v>
      </c>
      <c r="CI119" s="194">
        <f t="shared" si="185"/>
        <v>111.26965819032408</v>
      </c>
      <c r="CJ119" s="195">
        <f t="shared" si="185"/>
        <v>21.11799787250124</v>
      </c>
      <c r="CK119" s="27">
        <f t="shared" si="185"/>
        <v>-18.048302612198107</v>
      </c>
      <c r="CL119" s="27">
        <f t="shared" si="185"/>
        <v>-5.025550874360052</v>
      </c>
      <c r="CM119" s="27">
        <f t="shared" si="185"/>
        <v>112.20358451124474</v>
      </c>
      <c r="CN119" s="27">
        <f t="shared" si="185"/>
        <v>15.958869365344363</v>
      </c>
      <c r="CO119" s="27">
        <f t="shared" si="185"/>
        <v>0.43362460419702487</v>
      </c>
      <c r="CP119" s="27">
        <f t="shared" si="185"/>
        <v>-16.862583237552276</v>
      </c>
      <c r="CQ119" s="27">
        <f t="shared" si="185"/>
        <v>122.97870822343788</v>
      </c>
      <c r="CR119" s="27">
        <f t="shared" si="185"/>
        <v>-6.197489736933881</v>
      </c>
      <c r="CS119" s="27">
        <f t="shared" si="185"/>
        <v>23.633230966139607</v>
      </c>
      <c r="CT119" s="27">
        <f t="shared" si="185"/>
        <v>-3.721536644776191</v>
      </c>
      <c r="CU119" s="194">
        <f t="shared" si="185"/>
        <v>84.99689130439201</v>
      </c>
      <c r="CV119" s="27">
        <f aca="true" t="shared" si="186" ref="CV119:EA119">(POWER(CV51/CU51,12)-1)*100</f>
        <v>-6.311827663397496</v>
      </c>
      <c r="CW119" s="27">
        <f t="shared" si="186"/>
        <v>-29.72780543794702</v>
      </c>
      <c r="CX119" s="27">
        <f t="shared" si="186"/>
        <v>-26.154764492329928</v>
      </c>
      <c r="CY119" s="27">
        <f t="shared" si="186"/>
        <v>90.17985876581082</v>
      </c>
      <c r="CZ119" s="27">
        <f t="shared" si="186"/>
        <v>-27.583125312568658</v>
      </c>
      <c r="DA119" s="27">
        <f t="shared" si="186"/>
        <v>179.51739129686115</v>
      </c>
      <c r="DB119" s="197">
        <f t="shared" si="186"/>
        <v>-22.046862987334247</v>
      </c>
      <c r="DC119" s="113">
        <f t="shared" si="186"/>
        <v>-4.317196208335439</v>
      </c>
      <c r="DD119" s="103">
        <f t="shared" si="186"/>
        <v>-29.386414899089242</v>
      </c>
      <c r="DE119" s="103">
        <f t="shared" si="186"/>
        <v>291.78825574334184</v>
      </c>
      <c r="DF119" s="103">
        <f t="shared" si="186"/>
        <v>-48.41828452386678</v>
      </c>
      <c r="DG119" s="131">
        <f t="shared" si="186"/>
        <v>111.9267054620543</v>
      </c>
      <c r="DH119" s="106">
        <f t="shared" si="186"/>
        <v>-30.22822097044129</v>
      </c>
      <c r="DI119" s="103">
        <f t="shared" si="186"/>
        <v>96.11718745928049</v>
      </c>
      <c r="DJ119" s="103">
        <f t="shared" si="186"/>
        <v>-42.20810751387373</v>
      </c>
      <c r="DK119" s="103">
        <f t="shared" si="186"/>
        <v>61.76482400346115</v>
      </c>
      <c r="DL119" s="103">
        <f t="shared" si="186"/>
        <v>23.316001202388993</v>
      </c>
      <c r="DM119" s="103">
        <f t="shared" si="186"/>
        <v>-9.970214425310886</v>
      </c>
      <c r="DN119" s="103">
        <f t="shared" si="186"/>
        <v>-3.1025917051460183</v>
      </c>
      <c r="DO119" s="103">
        <f t="shared" si="186"/>
        <v>28.025401229777923</v>
      </c>
      <c r="DP119" s="103">
        <f t="shared" si="186"/>
        <v>71.68637506492821</v>
      </c>
      <c r="DQ119" s="103">
        <f t="shared" si="186"/>
        <v>-0.03419204194871073</v>
      </c>
      <c r="DR119" s="103">
        <f t="shared" si="186"/>
        <v>-21.93881702641436</v>
      </c>
      <c r="DS119" s="131">
        <f t="shared" si="186"/>
        <v>80.39831016607697</v>
      </c>
      <c r="DT119" s="106">
        <f t="shared" si="186"/>
        <v>-17.46416770517939</v>
      </c>
      <c r="DU119" s="103">
        <f t="shared" si="186"/>
        <v>3.190349098900791</v>
      </c>
      <c r="DV119" s="103">
        <f t="shared" si="186"/>
        <v>-16.012705783973445</v>
      </c>
      <c r="DW119" s="103">
        <f t="shared" si="186"/>
        <v>-19.685457821136175</v>
      </c>
      <c r="DX119" s="103">
        <f t="shared" si="186"/>
        <v>215.77903658385358</v>
      </c>
      <c r="DY119" s="103">
        <f t="shared" si="186"/>
        <v>-29.809858839322757</v>
      </c>
      <c r="DZ119" s="103">
        <f t="shared" si="186"/>
        <v>-37.82397594057425</v>
      </c>
      <c r="EA119" s="103">
        <f t="shared" si="186"/>
        <v>-9.171794459113014</v>
      </c>
      <c r="EB119" s="103">
        <f aca="true" t="shared" si="187" ref="EB119:FG119">(POWER(EB51/EA51,12)-1)*100</f>
        <v>-29.397272981155854</v>
      </c>
      <c r="EC119" s="103">
        <f t="shared" si="187"/>
        <v>-6.705647382786029</v>
      </c>
      <c r="ED119" s="103">
        <f t="shared" si="187"/>
        <v>-6.546417976346919</v>
      </c>
      <c r="EE119" s="137">
        <f t="shared" si="187"/>
        <v>-65.5612597515966</v>
      </c>
      <c r="EF119" s="103">
        <f t="shared" si="187"/>
        <v>-8.457015172136128</v>
      </c>
      <c r="EG119" s="113">
        <f t="shared" si="187"/>
        <v>12.345988471820402</v>
      </c>
      <c r="EH119" s="113">
        <f t="shared" si="187"/>
        <v>23.038477605717134</v>
      </c>
      <c r="EI119" s="113">
        <f t="shared" si="187"/>
        <v>4.943980716482588</v>
      </c>
      <c r="EJ119" s="113">
        <f t="shared" si="187"/>
        <v>-26.105490589546154</v>
      </c>
      <c r="EK119" s="113">
        <f t="shared" si="187"/>
        <v>-48.68815389383756</v>
      </c>
      <c r="EL119" s="113">
        <f t="shared" si="187"/>
        <v>-42.282366553012615</v>
      </c>
      <c r="EM119" s="113">
        <f t="shared" si="187"/>
        <v>-15.044857054342287</v>
      </c>
      <c r="EN119" s="113">
        <f t="shared" si="187"/>
        <v>-15.607516464222403</v>
      </c>
      <c r="EO119" s="113">
        <f t="shared" si="187"/>
        <v>-0.09728336881660304</v>
      </c>
      <c r="EP119" s="113">
        <f t="shared" si="187"/>
        <v>-63.17160145393681</v>
      </c>
      <c r="EQ119" s="137">
        <f t="shared" si="187"/>
        <v>7.188456021856049</v>
      </c>
      <c r="ER119" s="138">
        <f t="shared" si="187"/>
        <v>-43.7550195768831</v>
      </c>
      <c r="ES119" s="113">
        <f t="shared" si="187"/>
        <v>-21.871261960263453</v>
      </c>
      <c r="ET119" s="113">
        <f t="shared" si="187"/>
        <v>5.364455655636169</v>
      </c>
      <c r="EU119" s="113">
        <f t="shared" si="187"/>
        <v>-5.494314258932553</v>
      </c>
      <c r="EV119" s="113">
        <f t="shared" si="187"/>
        <v>-12.814771844797434</v>
      </c>
      <c r="EW119" s="113">
        <f t="shared" si="187"/>
        <v>-33.611400013056006</v>
      </c>
      <c r="EX119" s="113">
        <f t="shared" si="187"/>
        <v>1.4670157241399862</v>
      </c>
      <c r="EY119" s="113">
        <f t="shared" si="187"/>
        <v>-1.1567133367874516</v>
      </c>
      <c r="EZ119" s="113">
        <f t="shared" si="187"/>
        <v>-16.95483996937728</v>
      </c>
      <c r="FA119" s="113">
        <f t="shared" si="187"/>
        <v>-33.01225032749979</v>
      </c>
      <c r="FB119" s="113">
        <f t="shared" si="187"/>
        <v>-23.27618734444861</v>
      </c>
      <c r="FC119" s="137">
        <f t="shared" si="187"/>
        <v>10.198054084875308</v>
      </c>
      <c r="FD119" s="293">
        <f t="shared" si="187"/>
        <v>-1.7135828063356562</v>
      </c>
      <c r="FE119" s="293">
        <f t="shared" si="187"/>
        <v>18.62470871521651</v>
      </c>
      <c r="FF119" s="293">
        <f t="shared" si="187"/>
        <v>-0.788141989393909</v>
      </c>
      <c r="FG119" s="293">
        <f t="shared" si="187"/>
        <v>-0.172898426110224</v>
      </c>
      <c r="FH119" s="293">
        <f aca="true" t="shared" si="188" ref="FH119:GA119">(POWER(FH51/FG51,12)-1)*100</f>
        <v>-2.80520657215122</v>
      </c>
      <c r="FI119" s="293">
        <f t="shared" si="188"/>
        <v>15.049884003981928</v>
      </c>
      <c r="FJ119" s="293">
        <f t="shared" si="188"/>
        <v>-11.66646675161176</v>
      </c>
      <c r="FK119" s="293">
        <f t="shared" si="188"/>
        <v>39.29209566808349</v>
      </c>
      <c r="FL119" s="138">
        <f t="shared" si="188"/>
        <v>9.935349302759233</v>
      </c>
      <c r="FM119" s="138">
        <f t="shared" si="188"/>
        <v>-0.42347496083617875</v>
      </c>
      <c r="FN119" s="138">
        <f t="shared" si="188"/>
        <v>15.831638390974433</v>
      </c>
      <c r="FO119" s="293">
        <f t="shared" si="188"/>
        <v>38.798292553142375</v>
      </c>
      <c r="FP119" s="293">
        <f t="shared" si="188"/>
        <v>27.436655319011294</v>
      </c>
      <c r="FQ119" s="138">
        <f t="shared" si="188"/>
        <v>-0.5524800779646566</v>
      </c>
      <c r="FR119" s="293">
        <f t="shared" si="188"/>
        <v>33.90501776563859</v>
      </c>
      <c r="FS119" s="293">
        <f t="shared" si="188"/>
        <v>44.83064454297319</v>
      </c>
      <c r="FT119" s="293">
        <f t="shared" si="188"/>
        <v>9.245767487413747</v>
      </c>
      <c r="FU119" s="293">
        <f t="shared" si="188"/>
        <v>50.19351200660509</v>
      </c>
      <c r="FV119" s="113">
        <f t="shared" si="188"/>
        <v>42.81618760889459</v>
      </c>
      <c r="FW119" s="293">
        <f t="shared" si="188"/>
        <v>43.079500434741114</v>
      </c>
      <c r="FX119" s="293">
        <f t="shared" si="188"/>
        <v>4.790318458808418</v>
      </c>
      <c r="FY119" s="138">
        <f t="shared" si="188"/>
        <v>51.816241294545094</v>
      </c>
      <c r="FZ119" s="138">
        <f t="shared" si="188"/>
        <v>48.142399164649774</v>
      </c>
      <c r="GA119" s="138">
        <f t="shared" si="188"/>
        <v>38.66456080231926</v>
      </c>
      <c r="GB119" s="138">
        <f>(POWER(GB51/GA51,12)-1)*100</f>
        <v>-11.257618757563304</v>
      </c>
      <c r="GC119" s="138">
        <f>(POWER(GC51/GB51,12)-1)*100</f>
        <v>27.472202819507928</v>
      </c>
      <c r="GD119" s="293">
        <f>(POWER(GD51/GC51,12)-1)*100</f>
        <v>16.734253215090632</v>
      </c>
    </row>
    <row r="120" spans="1:186" ht="15" customHeight="1">
      <c r="A120" s="3"/>
      <c r="B120" s="117"/>
      <c r="C120" s="17"/>
      <c r="D120" s="38"/>
      <c r="E120" s="25"/>
      <c r="F120" s="25"/>
      <c r="G120" s="25"/>
      <c r="H120" s="25"/>
      <c r="I120" s="25"/>
      <c r="J120" s="25"/>
      <c r="K120" s="25"/>
      <c r="L120" s="25"/>
      <c r="M120" s="25"/>
      <c r="N120" s="25"/>
      <c r="O120" s="39"/>
      <c r="P120" s="38"/>
      <c r="Q120" s="25"/>
      <c r="R120" s="25"/>
      <c r="S120" s="25"/>
      <c r="T120" s="25"/>
      <c r="U120" s="25"/>
      <c r="V120" s="25"/>
      <c r="W120" s="25"/>
      <c r="X120" s="25"/>
      <c r="Y120" s="25"/>
      <c r="Z120" s="25"/>
      <c r="AA120" s="39"/>
      <c r="AB120" s="38"/>
      <c r="AC120" s="25"/>
      <c r="AD120" s="25"/>
      <c r="AE120" s="25"/>
      <c r="AF120" s="25"/>
      <c r="AG120" s="25"/>
      <c r="AH120" s="25"/>
      <c r="AI120" s="25"/>
      <c r="AJ120" s="25"/>
      <c r="AK120" s="25"/>
      <c r="AL120" s="25"/>
      <c r="AM120" s="39"/>
      <c r="AP120" s="49"/>
      <c r="AR120" s="3"/>
      <c r="AS120" s="3"/>
      <c r="AT120" s="3"/>
      <c r="AU120" s="3"/>
      <c r="AV120" s="3"/>
      <c r="AW120" s="49"/>
      <c r="AX120" s="49"/>
      <c r="AY120" s="199"/>
      <c r="AZ120" s="3"/>
      <c r="BA120" s="49"/>
      <c r="BB120" s="3"/>
      <c r="BC120" s="49"/>
      <c r="BD120" s="3"/>
      <c r="BE120" s="3"/>
      <c r="BF120" s="3"/>
      <c r="BG120" s="3"/>
      <c r="BH120" s="3"/>
      <c r="BI120" s="3"/>
      <c r="BJ120" s="3"/>
      <c r="BK120" s="189"/>
      <c r="BL120" s="190"/>
      <c r="BM120" s="3"/>
      <c r="BN120" s="3"/>
      <c r="BO120" s="3"/>
      <c r="BP120" s="3"/>
      <c r="BQ120" s="3"/>
      <c r="BR120" s="3"/>
      <c r="BS120" s="49"/>
      <c r="BT120" s="49"/>
      <c r="BU120" s="3"/>
      <c r="BV120" s="3"/>
      <c r="BW120" s="189"/>
      <c r="BX120" s="190"/>
      <c r="BY120" s="3"/>
      <c r="BZ120" s="3"/>
      <c r="CA120" s="49"/>
      <c r="CB120" s="49"/>
      <c r="CC120" s="97"/>
      <c r="CD120" s="122"/>
      <c r="CE120" s="122"/>
      <c r="CF120" s="122"/>
      <c r="CG120" s="122"/>
      <c r="CH120" s="122"/>
      <c r="CI120" s="200"/>
      <c r="CJ120" s="201"/>
      <c r="CK120" s="26"/>
      <c r="CL120" s="26"/>
      <c r="CM120" s="27"/>
      <c r="CN120" s="122"/>
      <c r="CO120" s="122"/>
      <c r="CP120" s="97"/>
      <c r="CQ120" s="97"/>
      <c r="CR120" s="108"/>
      <c r="CS120" s="97"/>
      <c r="CT120" s="97"/>
      <c r="CU120" s="191"/>
      <c r="CV120" s="97"/>
      <c r="CW120" s="97"/>
      <c r="CX120" s="122"/>
      <c r="CY120" s="97"/>
      <c r="CZ120" s="97"/>
      <c r="DA120" s="97"/>
      <c r="DB120" s="97"/>
      <c r="DC120" s="97"/>
      <c r="DD120" s="97"/>
      <c r="DE120" s="14"/>
      <c r="DF120" s="97"/>
      <c r="DG120" s="157"/>
      <c r="DH120" s="119"/>
      <c r="DI120" s="101"/>
      <c r="DJ120" s="100"/>
      <c r="DK120" s="100"/>
      <c r="DL120" s="101"/>
      <c r="DM120" s="101"/>
      <c r="DN120" s="108"/>
      <c r="DO120" s="108"/>
      <c r="DP120" s="108"/>
      <c r="DQ120" s="108"/>
      <c r="DR120" s="108"/>
      <c r="DS120" s="125"/>
      <c r="DT120" s="119"/>
      <c r="DU120" s="122"/>
      <c r="DV120" s="122"/>
      <c r="DW120" s="122"/>
      <c r="DX120" s="122"/>
      <c r="DY120" s="122"/>
      <c r="DZ120" s="122"/>
      <c r="EA120" s="122"/>
      <c r="EB120" s="122"/>
      <c r="EC120" s="122"/>
      <c r="ED120" s="122"/>
      <c r="EE120" s="140"/>
      <c r="EF120" s="101"/>
      <c r="EG120" s="101"/>
      <c r="EH120" s="95"/>
      <c r="EI120" s="95"/>
      <c r="EJ120" s="122"/>
      <c r="EK120" s="113"/>
      <c r="EL120" s="113"/>
      <c r="EM120" s="113"/>
      <c r="EN120" s="113"/>
      <c r="EO120" s="113"/>
      <c r="EP120" s="113"/>
      <c r="EQ120" s="137"/>
      <c r="ER120" s="119"/>
      <c r="ES120" s="122"/>
      <c r="ET120" s="122"/>
      <c r="EU120" s="122"/>
      <c r="EV120" s="122"/>
      <c r="EW120" s="122"/>
      <c r="EX120" s="122"/>
      <c r="EY120" s="122"/>
      <c r="EZ120" s="122"/>
      <c r="FA120" s="122"/>
      <c r="FB120" s="122"/>
      <c r="FC120" s="140"/>
      <c r="FD120" s="63"/>
      <c r="FE120" s="63"/>
      <c r="FF120" s="63"/>
      <c r="FG120" s="63"/>
      <c r="FH120" s="63"/>
      <c r="FI120" s="63"/>
      <c r="FJ120" s="63"/>
      <c r="FK120" s="63"/>
      <c r="FL120" s="119"/>
      <c r="FM120" s="119"/>
      <c r="FN120" s="119"/>
      <c r="FO120" s="63"/>
      <c r="FP120" s="140"/>
      <c r="FQ120" s="122"/>
      <c r="FR120" s="63"/>
      <c r="FS120" s="63"/>
      <c r="FT120" s="63"/>
      <c r="FU120" s="63"/>
      <c r="FV120" s="122"/>
      <c r="FW120" s="63"/>
      <c r="FX120" s="63"/>
      <c r="FY120" s="122"/>
      <c r="FZ120" s="119"/>
      <c r="GA120" s="119"/>
      <c r="GB120" s="119"/>
      <c r="GC120" s="119"/>
      <c r="GD120" s="63"/>
    </row>
    <row r="121" spans="1:186" ht="15" customHeight="1">
      <c r="A121" s="3"/>
      <c r="B121" s="186" t="s">
        <v>25</v>
      </c>
      <c r="C121" s="19"/>
      <c r="D121" s="35"/>
      <c r="E121" s="36"/>
      <c r="F121" s="36"/>
      <c r="G121" s="36"/>
      <c r="H121" s="36"/>
      <c r="I121" s="36"/>
      <c r="J121" s="36"/>
      <c r="K121" s="36"/>
      <c r="L121" s="36"/>
      <c r="M121" s="36"/>
      <c r="N121" s="25"/>
      <c r="O121" s="39"/>
      <c r="P121" s="38"/>
      <c r="Q121" s="25"/>
      <c r="R121" s="25"/>
      <c r="S121" s="25"/>
      <c r="T121" s="25"/>
      <c r="U121" s="25"/>
      <c r="V121" s="25"/>
      <c r="W121" s="25"/>
      <c r="X121" s="25"/>
      <c r="Y121" s="25"/>
      <c r="Z121" s="25"/>
      <c r="AA121" s="39"/>
      <c r="AB121" s="38"/>
      <c r="AC121" s="25"/>
      <c r="AD121" s="25"/>
      <c r="AE121" s="25"/>
      <c r="AF121" s="25"/>
      <c r="AG121" s="25"/>
      <c r="AH121" s="25"/>
      <c r="AI121" s="25"/>
      <c r="AJ121" s="25"/>
      <c r="AK121" s="25"/>
      <c r="AL121" s="25"/>
      <c r="AM121" s="39"/>
      <c r="AP121" s="49"/>
      <c r="AR121" s="3"/>
      <c r="AS121" s="3"/>
      <c r="AT121" s="3"/>
      <c r="AU121" s="3"/>
      <c r="AV121" s="3"/>
      <c r="AW121" s="49"/>
      <c r="AX121" s="49"/>
      <c r="AY121" s="199"/>
      <c r="AZ121" s="3"/>
      <c r="BA121" s="49"/>
      <c r="BB121" s="3"/>
      <c r="BC121" s="49"/>
      <c r="BD121" s="3"/>
      <c r="BE121" s="3"/>
      <c r="BF121" s="3"/>
      <c r="BG121" s="3"/>
      <c r="BH121" s="3"/>
      <c r="BI121" s="3"/>
      <c r="BJ121" s="3"/>
      <c r="BK121" s="189"/>
      <c r="BL121" s="190"/>
      <c r="BM121" s="3"/>
      <c r="BN121" s="3"/>
      <c r="BO121" s="3"/>
      <c r="BP121" s="3"/>
      <c r="BQ121" s="3"/>
      <c r="BR121" s="3"/>
      <c r="BS121" s="49"/>
      <c r="BT121" s="49"/>
      <c r="BU121" s="3"/>
      <c r="BV121" s="3"/>
      <c r="BW121" s="189"/>
      <c r="BX121" s="190"/>
      <c r="BY121" s="3"/>
      <c r="BZ121" s="3"/>
      <c r="CA121" s="49"/>
      <c r="CB121" s="49"/>
      <c r="CC121" s="97"/>
      <c r="CD121" s="122"/>
      <c r="CE121" s="122"/>
      <c r="CF121" s="122"/>
      <c r="CG121" s="122"/>
      <c r="CH121" s="122"/>
      <c r="CI121" s="200"/>
      <c r="CJ121" s="201"/>
      <c r="CK121" s="26"/>
      <c r="CL121" s="26"/>
      <c r="CM121" s="27"/>
      <c r="CN121" s="122"/>
      <c r="CO121" s="122"/>
      <c r="CP121" s="97"/>
      <c r="CQ121" s="97"/>
      <c r="CR121" s="108"/>
      <c r="CS121" s="97"/>
      <c r="CT121" s="97"/>
      <c r="CU121" s="191"/>
      <c r="CV121" s="97"/>
      <c r="CW121" s="97"/>
      <c r="CX121" s="122"/>
      <c r="CY121" s="97"/>
      <c r="CZ121" s="97"/>
      <c r="DA121" s="97"/>
      <c r="DB121" s="97"/>
      <c r="DC121" s="97"/>
      <c r="DD121" s="97"/>
      <c r="DE121" s="14"/>
      <c r="DF121" s="97"/>
      <c r="DG121" s="157"/>
      <c r="DH121" s="119"/>
      <c r="DI121" s="101"/>
      <c r="DJ121" s="100"/>
      <c r="DK121" s="100"/>
      <c r="DL121" s="101"/>
      <c r="DM121" s="101"/>
      <c r="DN121" s="108"/>
      <c r="DO121" s="108"/>
      <c r="DP121" s="108"/>
      <c r="DQ121" s="108"/>
      <c r="DR121" s="108"/>
      <c r="DS121" s="125"/>
      <c r="DT121" s="119"/>
      <c r="DU121" s="122"/>
      <c r="DV121" s="122"/>
      <c r="DW121" s="122"/>
      <c r="DX121" s="122"/>
      <c r="DY121" s="122"/>
      <c r="DZ121" s="122"/>
      <c r="EA121" s="122"/>
      <c r="EB121" s="122"/>
      <c r="EC121" s="122"/>
      <c r="ED121" s="122"/>
      <c r="EE121" s="140"/>
      <c r="EF121" s="101"/>
      <c r="EG121" s="101"/>
      <c r="EH121" s="95"/>
      <c r="EI121" s="95"/>
      <c r="EJ121" s="122"/>
      <c r="EK121" s="113"/>
      <c r="EL121" s="113"/>
      <c r="EM121" s="113"/>
      <c r="EN121" s="113"/>
      <c r="EO121" s="113"/>
      <c r="EP121" s="113"/>
      <c r="EQ121" s="137"/>
      <c r="ER121" s="119"/>
      <c r="ES121" s="122"/>
      <c r="ET121" s="122"/>
      <c r="EU121" s="122"/>
      <c r="EV121" s="122"/>
      <c r="EW121" s="122"/>
      <c r="EX121" s="122"/>
      <c r="EY121" s="122"/>
      <c r="EZ121" s="122"/>
      <c r="FA121" s="122"/>
      <c r="FB121" s="122"/>
      <c r="FC121" s="140"/>
      <c r="FD121" s="63"/>
      <c r="FE121" s="63"/>
      <c r="FF121" s="63"/>
      <c r="FG121" s="63"/>
      <c r="FH121" s="63"/>
      <c r="FI121" s="63"/>
      <c r="FJ121" s="63"/>
      <c r="FK121" s="63"/>
      <c r="FL121" s="119"/>
      <c r="FM121" s="119"/>
      <c r="FN121" s="119"/>
      <c r="FO121" s="63"/>
      <c r="FP121" s="140"/>
      <c r="FQ121" s="122"/>
      <c r="FR121" s="63"/>
      <c r="FS121" s="63"/>
      <c r="FT121" s="63"/>
      <c r="FU121" s="63"/>
      <c r="FV121" s="122"/>
      <c r="FW121" s="63"/>
      <c r="FX121" s="63"/>
      <c r="FY121" s="122"/>
      <c r="FZ121" s="119"/>
      <c r="GA121" s="119"/>
      <c r="GB121" s="119"/>
      <c r="GC121" s="119"/>
      <c r="GD121" s="63"/>
    </row>
    <row r="122" spans="1:186" ht="15" customHeight="1">
      <c r="A122" s="3"/>
      <c r="B122" s="117" t="s">
        <v>8</v>
      </c>
      <c r="C122" s="19"/>
      <c r="D122" s="35"/>
      <c r="E122" s="36"/>
      <c r="F122" s="36"/>
      <c r="G122" s="36"/>
      <c r="H122" s="36"/>
      <c r="I122" s="36">
        <f aca="true" t="shared" si="189" ref="I122:AN122">(POWER(I81/C81,2)-1)*100</f>
        <v>81.69496705399688</v>
      </c>
      <c r="J122" s="36">
        <f t="shared" si="189"/>
        <v>115.49155648783467</v>
      </c>
      <c r="K122" s="36">
        <f t="shared" si="189"/>
        <v>115.35892343927468</v>
      </c>
      <c r="L122" s="36">
        <f t="shared" si="189"/>
        <v>116.39443763533662</v>
      </c>
      <c r="M122" s="36">
        <f t="shared" si="189"/>
        <v>89.6206761625152</v>
      </c>
      <c r="N122" s="36">
        <f t="shared" si="189"/>
        <v>91.8511928463304</v>
      </c>
      <c r="O122" s="37">
        <f t="shared" si="189"/>
        <v>82.6174710453187</v>
      </c>
      <c r="P122" s="35">
        <f t="shared" si="189"/>
        <v>51.257414315565384</v>
      </c>
      <c r="Q122" s="36">
        <f t="shared" si="189"/>
        <v>70.42935318741792</v>
      </c>
      <c r="R122" s="36">
        <f t="shared" si="189"/>
        <v>64.3139765335488</v>
      </c>
      <c r="S122" s="36">
        <f t="shared" si="189"/>
        <v>50.9113315084057</v>
      </c>
      <c r="T122" s="36">
        <f t="shared" si="189"/>
        <v>32.28674846758399</v>
      </c>
      <c r="U122" s="36">
        <f t="shared" si="189"/>
        <v>28.233298510391847</v>
      </c>
      <c r="V122" s="36">
        <f t="shared" si="189"/>
        <v>3.8961985036240154</v>
      </c>
      <c r="W122" s="36">
        <f t="shared" si="189"/>
        <v>-14.284198672555704</v>
      </c>
      <c r="X122" s="36">
        <f t="shared" si="189"/>
        <v>-9.956925615906421</v>
      </c>
      <c r="Y122" s="36">
        <f t="shared" si="189"/>
        <v>-0.2315668027123019</v>
      </c>
      <c r="Z122" s="36">
        <f t="shared" si="189"/>
        <v>5.209006818721407</v>
      </c>
      <c r="AA122" s="37">
        <f t="shared" si="189"/>
        <v>-0.603460108198961</v>
      </c>
      <c r="AB122" s="35">
        <f t="shared" si="189"/>
        <v>11.503581310638111</v>
      </c>
      <c r="AC122" s="36">
        <f t="shared" si="189"/>
        <v>17.928890846146327</v>
      </c>
      <c r="AD122" s="36">
        <f t="shared" si="189"/>
        <v>20.202319841605252</v>
      </c>
      <c r="AE122" s="36">
        <f t="shared" si="189"/>
        <v>22.42648589734888</v>
      </c>
      <c r="AF122" s="36">
        <f t="shared" si="189"/>
        <v>22.559145555412364</v>
      </c>
      <c r="AG122" s="36">
        <f t="shared" si="189"/>
        <v>25.465981772921232</v>
      </c>
      <c r="AH122" s="36">
        <f t="shared" si="189"/>
        <v>30.838022288670498</v>
      </c>
      <c r="AI122" s="36">
        <f t="shared" si="189"/>
        <v>26.570456277795884</v>
      </c>
      <c r="AJ122" s="36">
        <f t="shared" si="189"/>
        <v>18.59300373616155</v>
      </c>
      <c r="AK122" s="36">
        <f t="shared" si="189"/>
        <v>17.710562559182485</v>
      </c>
      <c r="AL122" s="36">
        <f t="shared" si="189"/>
        <v>18.873069200432614</v>
      </c>
      <c r="AM122" s="37">
        <f t="shared" si="189"/>
        <v>28.572586377903477</v>
      </c>
      <c r="AN122" s="26">
        <f t="shared" si="189"/>
        <v>24.36292624656582</v>
      </c>
      <c r="AO122" s="26">
        <f aca="true" t="shared" si="190" ref="AO122:BT122">(POWER(AO81/AI81,2)-1)*100</f>
        <v>16.278560548904263</v>
      </c>
      <c r="AP122" s="27">
        <f t="shared" si="190"/>
        <v>25.53048687824886</v>
      </c>
      <c r="AQ122" s="27">
        <f t="shared" si="190"/>
        <v>35.28931005415426</v>
      </c>
      <c r="AR122" s="27">
        <f t="shared" si="190"/>
        <v>39.44382172686331</v>
      </c>
      <c r="AS122" s="27">
        <f t="shared" si="190"/>
        <v>35.86928671317675</v>
      </c>
      <c r="AT122" s="27">
        <f t="shared" si="190"/>
        <v>27.18869594881397</v>
      </c>
      <c r="AU122" s="27">
        <f t="shared" si="190"/>
        <v>37.50207826612599</v>
      </c>
      <c r="AV122" s="27">
        <f t="shared" si="190"/>
        <v>115.77000632645462</v>
      </c>
      <c r="AW122" s="27">
        <f t="shared" si="190"/>
        <v>101.72121255125717</v>
      </c>
      <c r="AX122" s="27">
        <f t="shared" si="190"/>
        <v>100.96888838958242</v>
      </c>
      <c r="AY122" s="194">
        <f t="shared" si="190"/>
        <v>98.9697902101302</v>
      </c>
      <c r="AZ122" s="27">
        <f t="shared" si="190"/>
        <v>123.50115328998777</v>
      </c>
      <c r="BA122" s="27">
        <f t="shared" si="190"/>
        <v>161.7590999404431</v>
      </c>
      <c r="BB122" s="27">
        <f t="shared" si="190"/>
        <v>66.10511122509823</v>
      </c>
      <c r="BC122" s="27">
        <f t="shared" si="190"/>
        <v>45.2251517774745</v>
      </c>
      <c r="BD122" s="27">
        <f t="shared" si="190"/>
        <v>44.0295956887198</v>
      </c>
      <c r="BE122" s="27">
        <f t="shared" si="190"/>
        <v>60.68079295312072</v>
      </c>
      <c r="BF122" s="27">
        <f t="shared" si="190"/>
        <v>64.7802316946178</v>
      </c>
      <c r="BG122" s="27">
        <f t="shared" si="190"/>
        <v>39.82132328645574</v>
      </c>
      <c r="BH122" s="27">
        <f t="shared" si="190"/>
        <v>22.91699695371514</v>
      </c>
      <c r="BI122" s="27">
        <f t="shared" si="190"/>
        <v>48.88385313158325</v>
      </c>
      <c r="BJ122" s="27">
        <f t="shared" si="190"/>
        <v>44.66656996960205</v>
      </c>
      <c r="BK122" s="194">
        <f t="shared" si="190"/>
        <v>37.75072219463147</v>
      </c>
      <c r="BL122" s="195">
        <f t="shared" si="190"/>
        <v>22.99490789142866</v>
      </c>
      <c r="BM122" s="27">
        <f t="shared" si="190"/>
        <v>24.691155771269703</v>
      </c>
      <c r="BN122" s="27">
        <f t="shared" si="190"/>
        <v>28.83975652558386</v>
      </c>
      <c r="BO122" s="27">
        <f t="shared" si="190"/>
        <v>18.72607083677693</v>
      </c>
      <c r="BP122" s="27">
        <f t="shared" si="190"/>
        <v>11.249201063322968</v>
      </c>
      <c r="BQ122" s="27">
        <f t="shared" si="190"/>
        <v>-3.2765681579403183</v>
      </c>
      <c r="BR122" s="27">
        <f t="shared" si="190"/>
        <v>4.358946098752248</v>
      </c>
      <c r="BS122" s="27">
        <f t="shared" si="190"/>
        <v>-9.180710097352963</v>
      </c>
      <c r="BT122" s="27">
        <f t="shared" si="190"/>
        <v>-2.2614711673367482</v>
      </c>
      <c r="BU122" s="27">
        <f aca="true" t="shared" si="191" ref="BU122:CZ122">(POWER(BU81/BO81,2)-1)*100</f>
        <v>2.7458019809563083</v>
      </c>
      <c r="BV122" s="27">
        <f t="shared" si="191"/>
        <v>8.089654128727108</v>
      </c>
      <c r="BW122" s="194">
        <f t="shared" si="191"/>
        <v>15.346713303879532</v>
      </c>
      <c r="BX122" s="195">
        <f t="shared" si="191"/>
        <v>-2.951765182883026</v>
      </c>
      <c r="BY122" s="27">
        <f t="shared" si="191"/>
        <v>10.53453537758935</v>
      </c>
      <c r="BZ122" s="27">
        <f t="shared" si="191"/>
        <v>-4.2376092292643275</v>
      </c>
      <c r="CA122" s="27">
        <f t="shared" si="191"/>
        <v>-8.345247299913384</v>
      </c>
      <c r="CB122" s="27">
        <f t="shared" si="191"/>
        <v>-3.001533910670584</v>
      </c>
      <c r="CC122" s="27">
        <f t="shared" si="191"/>
        <v>-1.8206625060768533</v>
      </c>
      <c r="CD122" s="27">
        <f t="shared" si="191"/>
        <v>11.421123262255506</v>
      </c>
      <c r="CE122" s="27">
        <f t="shared" si="191"/>
        <v>13.756637350885882</v>
      </c>
      <c r="CF122" s="27">
        <f t="shared" si="191"/>
        <v>29.724061442613458</v>
      </c>
      <c r="CG122" s="27">
        <f t="shared" si="191"/>
        <v>31.857163507461973</v>
      </c>
      <c r="CH122" s="27">
        <f t="shared" si="191"/>
        <v>26.399632225881085</v>
      </c>
      <c r="CI122" s="194">
        <f t="shared" si="191"/>
        <v>43.90798688096857</v>
      </c>
      <c r="CJ122" s="195">
        <f t="shared" si="191"/>
        <v>31.17517348120218</v>
      </c>
      <c r="CK122" s="27">
        <f t="shared" si="191"/>
        <v>18.19932331945271</v>
      </c>
      <c r="CL122" s="27">
        <f t="shared" si="191"/>
        <v>9.061665826740173</v>
      </c>
      <c r="CM122" s="27">
        <f t="shared" si="191"/>
        <v>28.181566686971916</v>
      </c>
      <c r="CN122" s="27">
        <f t="shared" si="191"/>
        <v>18.339389912860902</v>
      </c>
      <c r="CO122" s="27">
        <f t="shared" si="191"/>
        <v>-1.9049825003563226</v>
      </c>
      <c r="CP122" s="27">
        <f t="shared" si="191"/>
        <v>11.47461414591242</v>
      </c>
      <c r="CQ122" s="27">
        <f t="shared" si="191"/>
        <v>22.918287603904197</v>
      </c>
      <c r="CR122" s="27">
        <f t="shared" si="191"/>
        <v>30.428687018491264</v>
      </c>
      <c r="CS122" s="27">
        <f t="shared" si="191"/>
        <v>15.400132995446292</v>
      </c>
      <c r="CT122" s="27">
        <f t="shared" si="191"/>
        <v>22.674627581031494</v>
      </c>
      <c r="CU122" s="194">
        <f t="shared" si="191"/>
        <v>21.303595768915716</v>
      </c>
      <c r="CV122" s="27">
        <f t="shared" si="191"/>
        <v>5.864247992644778</v>
      </c>
      <c r="CW122" s="27">
        <f t="shared" si="191"/>
        <v>4.545544890077058</v>
      </c>
      <c r="CX122" s="27">
        <f t="shared" si="191"/>
        <v>4.751000603777045</v>
      </c>
      <c r="CY122" s="27">
        <f t="shared" si="191"/>
        <v>10.14124720096261</v>
      </c>
      <c r="CZ122" s="27">
        <f t="shared" si="191"/>
        <v>4.75396645806323</v>
      </c>
      <c r="DA122" s="27">
        <f aca="true" t="shared" si="192" ref="DA122:EF122">(POWER(DA81/CU81,2)-1)*100</f>
        <v>7.544581618655677</v>
      </c>
      <c r="DB122" s="27">
        <f t="shared" si="192"/>
        <v>15.338176491644194</v>
      </c>
      <c r="DC122" s="27">
        <f t="shared" si="192"/>
        <v>14.593707257112577</v>
      </c>
      <c r="DD122" s="99">
        <f t="shared" si="192"/>
        <v>12.171766115662198</v>
      </c>
      <c r="DE122" s="99">
        <f t="shared" si="192"/>
        <v>3.302830984173477</v>
      </c>
      <c r="DF122" s="99">
        <f t="shared" si="192"/>
        <v>6.021293763942515</v>
      </c>
      <c r="DG122" s="116">
        <f t="shared" si="192"/>
        <v>8.447629528825562</v>
      </c>
      <c r="DH122" s="105">
        <f t="shared" si="192"/>
        <v>5.646904669487296</v>
      </c>
      <c r="DI122" s="102">
        <f t="shared" si="192"/>
        <v>12.500086883227457</v>
      </c>
      <c r="DJ122" s="99">
        <f t="shared" si="192"/>
        <v>18.77319562280164</v>
      </c>
      <c r="DK122" s="99">
        <f t="shared" si="192"/>
        <v>24.57259989270131</v>
      </c>
      <c r="DL122" s="99">
        <f t="shared" si="192"/>
        <v>26.45069203366759</v>
      </c>
      <c r="DM122" s="102">
        <f t="shared" si="192"/>
        <v>20.22004594498119</v>
      </c>
      <c r="DN122" s="102">
        <f t="shared" si="192"/>
        <v>22.34149002180057</v>
      </c>
      <c r="DO122" s="102">
        <f t="shared" si="192"/>
        <v>17.479716872589314</v>
      </c>
      <c r="DP122" s="102">
        <f t="shared" si="192"/>
        <v>16.442678760685816</v>
      </c>
      <c r="DQ122" s="102">
        <f t="shared" si="192"/>
        <v>7.4401457107059255</v>
      </c>
      <c r="DR122" s="102">
        <f t="shared" si="192"/>
        <v>5.582742750824976</v>
      </c>
      <c r="DS122" s="130">
        <f t="shared" si="192"/>
        <v>11.093814010023827</v>
      </c>
      <c r="DT122" s="105">
        <f t="shared" si="192"/>
        <v>7.505856761360552</v>
      </c>
      <c r="DU122" s="102">
        <f t="shared" si="192"/>
        <v>4.098705729039254</v>
      </c>
      <c r="DV122" s="102">
        <f t="shared" si="192"/>
        <v>1.456578628419658</v>
      </c>
      <c r="DW122" s="102">
        <f t="shared" si="192"/>
        <v>-4.042088373823038</v>
      </c>
      <c r="DX122" s="102">
        <f t="shared" si="192"/>
        <v>-9.441036938494173</v>
      </c>
      <c r="DY122" s="102">
        <f t="shared" si="192"/>
        <v>-22.146037205999335</v>
      </c>
      <c r="DZ122" s="102">
        <f t="shared" si="192"/>
        <v>-9.057383601071633</v>
      </c>
      <c r="EA122" s="102">
        <f t="shared" si="192"/>
        <v>-12.585486547298519</v>
      </c>
      <c r="EB122" s="102">
        <f t="shared" si="192"/>
        <v>-9.507415100131201</v>
      </c>
      <c r="EC122" s="102">
        <f t="shared" si="192"/>
        <v>-5.090182931205289</v>
      </c>
      <c r="ED122" s="102">
        <f t="shared" si="192"/>
        <v>-3.3301346549174715</v>
      </c>
      <c r="EE122" s="137">
        <f t="shared" si="192"/>
        <v>4.983229685853385</v>
      </c>
      <c r="EF122" s="102">
        <f t="shared" si="192"/>
        <v>-20.142116084043625</v>
      </c>
      <c r="EG122" s="103">
        <f aca="true" t="shared" si="193" ref="EG122:EZ122">(POWER(EG81/EA81,2)-1)*100</f>
        <v>-15.334740661522295</v>
      </c>
      <c r="EH122" s="103">
        <f t="shared" si="193"/>
        <v>-10.05189312478204</v>
      </c>
      <c r="EI122" s="103">
        <f t="shared" si="193"/>
        <v>-7.453924653955357</v>
      </c>
      <c r="EJ122" s="113">
        <f t="shared" si="193"/>
        <v>-4.644735257604282</v>
      </c>
      <c r="EK122" s="113">
        <f t="shared" si="193"/>
        <v>-9.294587048498093</v>
      </c>
      <c r="EL122" s="113">
        <f t="shared" si="193"/>
        <v>-1.1969048591034315</v>
      </c>
      <c r="EM122" s="113">
        <f t="shared" si="193"/>
        <v>-6.274619813800431</v>
      </c>
      <c r="EN122" s="113">
        <f t="shared" si="193"/>
        <v>-15.505313476834692</v>
      </c>
      <c r="EO122" s="113">
        <f t="shared" si="193"/>
        <v>-17.860558888010424</v>
      </c>
      <c r="EP122" s="113">
        <f t="shared" si="193"/>
        <v>-19.52097122124824</v>
      </c>
      <c r="EQ122" s="137">
        <f t="shared" si="193"/>
        <v>-15.778831857418051</v>
      </c>
      <c r="ER122" s="138">
        <f t="shared" si="193"/>
        <v>-13.057686636930688</v>
      </c>
      <c r="ES122" s="113">
        <f t="shared" si="193"/>
        <v>-5.678699602464099</v>
      </c>
      <c r="ET122" s="113">
        <f t="shared" si="193"/>
        <v>0.514063581402846</v>
      </c>
      <c r="EU122" s="113">
        <f t="shared" si="193"/>
        <v>4.716152735526591</v>
      </c>
      <c r="EV122" s="113">
        <f t="shared" si="193"/>
        <v>6.194663422590563</v>
      </c>
      <c r="EW122" s="113">
        <f t="shared" si="193"/>
        <v>8.219223140638565</v>
      </c>
      <c r="EX122" s="113">
        <f t="shared" si="193"/>
        <v>19.025910400789382</v>
      </c>
      <c r="EY122" s="113">
        <f t="shared" si="193"/>
        <v>7.971330282730049</v>
      </c>
      <c r="EZ122" s="113">
        <f t="shared" si="193"/>
        <v>6.351372167849267</v>
      </c>
      <c r="FA122" s="113">
        <f aca="true" t="shared" si="194" ref="FA122:FN122">(POWER(FA81/EU81,2)-1)*100</f>
        <v>7.284008238512341</v>
      </c>
      <c r="FB122" s="113">
        <f t="shared" si="194"/>
        <v>4.75730485720689</v>
      </c>
      <c r="FC122" s="137">
        <f t="shared" si="194"/>
        <v>8.029478125209245</v>
      </c>
      <c r="FD122" s="293">
        <f t="shared" si="194"/>
        <v>2.3424018555673554</v>
      </c>
      <c r="FE122" s="293">
        <f t="shared" si="194"/>
        <v>5.5740250747083</v>
      </c>
      <c r="FF122" s="293">
        <f t="shared" si="194"/>
        <v>-1.0430090903545075</v>
      </c>
      <c r="FG122" s="293">
        <f t="shared" si="194"/>
        <v>-12.349148865158755</v>
      </c>
      <c r="FH122" s="293">
        <f t="shared" si="194"/>
        <v>-10.844407328815276</v>
      </c>
      <c r="FI122" s="293">
        <f t="shared" si="194"/>
        <v>-12.355032676168442</v>
      </c>
      <c r="FJ122" s="293">
        <f t="shared" si="194"/>
        <v>-13.389300194117148</v>
      </c>
      <c r="FK122" s="293">
        <f t="shared" si="194"/>
        <v>-12.900447189683351</v>
      </c>
      <c r="FL122" s="138">
        <f t="shared" si="194"/>
        <v>-9.819077685950417</v>
      </c>
      <c r="FM122" s="138">
        <f t="shared" si="194"/>
        <v>-5.693294522904813</v>
      </c>
      <c r="FN122" s="138">
        <f t="shared" si="194"/>
        <v>-3.1776370163812406</v>
      </c>
      <c r="FO122" s="293">
        <f aca="true" t="shared" si="195" ref="FO122:FV122">(POWER(FO81/FI81,2)-1)*100</f>
        <v>6.621827532925306</v>
      </c>
      <c r="FP122" s="293">
        <f t="shared" si="195"/>
        <v>1.3940505760267952</v>
      </c>
      <c r="FQ122" s="138">
        <f t="shared" si="195"/>
        <v>-0.8224251126874971</v>
      </c>
      <c r="FR122" s="293">
        <f t="shared" si="195"/>
        <v>-3.224925034692805</v>
      </c>
      <c r="FS122" s="293">
        <f t="shared" si="195"/>
        <v>-0.7439527795995438</v>
      </c>
      <c r="FT122" s="293">
        <f t="shared" si="195"/>
        <v>0.5380257371400132</v>
      </c>
      <c r="FU122" s="293">
        <f t="shared" si="195"/>
        <v>-6.6837486122239165</v>
      </c>
      <c r="FV122" s="113">
        <f t="shared" si="195"/>
        <v>3.361635788799555</v>
      </c>
      <c r="FW122" s="293">
        <f aca="true" t="shared" si="196" ref="FW122:GB122">(POWER(FW81/FQ81,2)-1)*100</f>
        <v>12.74606944589356</v>
      </c>
      <c r="FX122" s="293">
        <f t="shared" si="196"/>
        <v>17.334597434886856</v>
      </c>
      <c r="FY122" s="138">
        <f t="shared" si="196"/>
        <v>17.549010349844263</v>
      </c>
      <c r="FZ122" s="138">
        <f t="shared" si="196"/>
        <v>21.391742728569007</v>
      </c>
      <c r="GA122" s="138">
        <f t="shared" si="196"/>
        <v>13.039508402623156</v>
      </c>
      <c r="GB122" s="138">
        <f t="shared" si="196"/>
        <v>12.492763391080564</v>
      </c>
      <c r="GC122" s="138">
        <f>(POWER(GC81/FW81,2)-1)*100</f>
        <v>4.798389735738162</v>
      </c>
      <c r="GD122" s="293">
        <f>(POWER(GD81/FX81,2)-1)*100</f>
        <v>7.102991724880159</v>
      </c>
    </row>
    <row r="123" spans="1:186" ht="15" customHeight="1">
      <c r="A123" s="3"/>
      <c r="B123" s="117" t="s">
        <v>102</v>
      </c>
      <c r="C123" s="202"/>
      <c r="D123" s="136"/>
      <c r="E123" s="135"/>
      <c r="F123" s="135"/>
      <c r="G123" s="135"/>
      <c r="H123" s="135"/>
      <c r="I123" s="135">
        <f aca="true" t="shared" si="197" ref="I123:R124">(POWER(I89/C89,2)-1)*100</f>
        <v>92.25498631095836</v>
      </c>
      <c r="J123" s="135">
        <f t="shared" si="197"/>
        <v>69.07436470886523</v>
      </c>
      <c r="K123" s="135">
        <f t="shared" si="197"/>
        <v>69.67387403454919</v>
      </c>
      <c r="L123" s="135">
        <f t="shared" si="197"/>
        <v>61.12071111111113</v>
      </c>
      <c r="M123" s="135">
        <f t="shared" si="197"/>
        <v>36.76494041474258</v>
      </c>
      <c r="N123" s="135">
        <f t="shared" si="197"/>
        <v>36.227033311089876</v>
      </c>
      <c r="O123" s="196">
        <f t="shared" si="197"/>
        <v>60.69979897040745</v>
      </c>
      <c r="P123" s="136">
        <f t="shared" si="197"/>
        <v>53.36147069264203</v>
      </c>
      <c r="Q123" s="135">
        <f t="shared" si="197"/>
        <v>51.45033886058663</v>
      </c>
      <c r="R123" s="135">
        <f t="shared" si="197"/>
        <v>67.38343621762432</v>
      </c>
      <c r="S123" s="135">
        <f aca="true" t="shared" si="198" ref="S123:AB124">(POWER(S89/M89,2)-1)*100</f>
        <v>67.32105088629781</v>
      </c>
      <c r="T123" s="135">
        <f t="shared" si="198"/>
        <v>66.93023883358377</v>
      </c>
      <c r="U123" s="135">
        <f t="shared" si="198"/>
        <v>11.923015120812819</v>
      </c>
      <c r="V123" s="135">
        <f t="shared" si="198"/>
        <v>11.356115236609664</v>
      </c>
      <c r="W123" s="135">
        <f t="shared" si="198"/>
        <v>5.738066414431686</v>
      </c>
      <c r="X123" s="135">
        <f t="shared" si="198"/>
        <v>-8.541879099239102</v>
      </c>
      <c r="Y123" s="135">
        <f t="shared" si="198"/>
        <v>0.5743653947034133</v>
      </c>
      <c r="Z123" s="135">
        <f t="shared" si="198"/>
        <v>-7.5935400806885545</v>
      </c>
      <c r="AA123" s="196">
        <f t="shared" si="198"/>
        <v>12.711336899491377</v>
      </c>
      <c r="AB123" s="136">
        <f t="shared" si="198"/>
        <v>20.578675026298686</v>
      </c>
      <c r="AC123" s="135">
        <f aca="true" t="shared" si="199" ref="AC123:AL124">(POWER(AC89/W89,2)-1)*100</f>
        <v>26.06370113722145</v>
      </c>
      <c r="AD123" s="135">
        <f t="shared" si="199"/>
        <v>29.935482714764717</v>
      </c>
      <c r="AE123" s="135">
        <f t="shared" si="199"/>
        <v>22.54516549225705</v>
      </c>
      <c r="AF123" s="135">
        <f t="shared" si="199"/>
        <v>23.91407559497065</v>
      </c>
      <c r="AG123" s="135">
        <f t="shared" si="199"/>
        <v>10.970578779821505</v>
      </c>
      <c r="AH123" s="135">
        <f t="shared" si="199"/>
        <v>28.369826159708687</v>
      </c>
      <c r="AI123" s="135">
        <f t="shared" si="199"/>
        <v>34.026622324678726</v>
      </c>
      <c r="AJ123" s="135">
        <f t="shared" si="199"/>
        <v>19.776033861392396</v>
      </c>
      <c r="AK123" s="135">
        <f t="shared" si="199"/>
        <v>25.40043308476061</v>
      </c>
      <c r="AL123" s="135">
        <f t="shared" si="199"/>
        <v>32.833752223040634</v>
      </c>
      <c r="AM123" s="196">
        <f aca="true" t="shared" si="200" ref="AM123:AV124">(POWER(AM89/AG89,2)-1)*100</f>
        <v>65.75919185122419</v>
      </c>
      <c r="AN123" s="27">
        <f t="shared" si="200"/>
        <v>41.67905095269444</v>
      </c>
      <c r="AO123" s="27">
        <f t="shared" si="200"/>
        <v>29.47299196531756</v>
      </c>
      <c r="AP123" s="27">
        <f t="shared" si="200"/>
        <v>45.74742428736316</v>
      </c>
      <c r="AQ123" s="27">
        <f t="shared" si="200"/>
        <v>48.93842239680551</v>
      </c>
      <c r="AR123" s="27">
        <f t="shared" si="200"/>
        <v>27.38120447191461</v>
      </c>
      <c r="AS123" s="27">
        <f t="shared" si="200"/>
        <v>8.329587768961844</v>
      </c>
      <c r="AT123" s="27">
        <f t="shared" si="200"/>
        <v>11.06162843926719</v>
      </c>
      <c r="AU123" s="27">
        <f t="shared" si="200"/>
        <v>18.999539493892858</v>
      </c>
      <c r="AV123" s="27">
        <f t="shared" si="200"/>
        <v>50.11851487178636</v>
      </c>
      <c r="AW123" s="27">
        <f aca="true" t="shared" si="201" ref="AW123:BF124">(POWER(AW89/AQ89,2)-1)*100</f>
        <v>51.99232041901376</v>
      </c>
      <c r="AX123" s="27">
        <f t="shared" si="201"/>
        <v>73.58636439884584</v>
      </c>
      <c r="AY123" s="194">
        <f t="shared" si="201"/>
        <v>82.21895912433372</v>
      </c>
      <c r="AZ123" s="27">
        <f t="shared" si="201"/>
        <v>77.43178501416573</v>
      </c>
      <c r="BA123" s="27">
        <f t="shared" si="201"/>
        <v>37.010942652868636</v>
      </c>
      <c r="BB123" s="27">
        <f t="shared" si="201"/>
        <v>11.865063163622768</v>
      </c>
      <c r="BC123" s="27">
        <f t="shared" si="201"/>
        <v>7.679111377224435</v>
      </c>
      <c r="BD123" s="27">
        <f t="shared" si="201"/>
        <v>11.946039590330159</v>
      </c>
      <c r="BE123" s="27">
        <f t="shared" si="201"/>
        <v>15.660761060913275</v>
      </c>
      <c r="BF123" s="27">
        <f t="shared" si="201"/>
        <v>21.224725303869228</v>
      </c>
      <c r="BG123" s="27">
        <f aca="true" t="shared" si="202" ref="BG123:BP124">(POWER(BG89/BA89,2)-1)*100</f>
        <v>53.03391005978877</v>
      </c>
      <c r="BH123" s="27">
        <f t="shared" si="202"/>
        <v>62.491640154636066</v>
      </c>
      <c r="BI123" s="27">
        <f t="shared" si="202"/>
        <v>54.36718293726373</v>
      </c>
      <c r="BJ123" s="27">
        <f t="shared" si="202"/>
        <v>57.81640625000002</v>
      </c>
      <c r="BK123" s="194">
        <f t="shared" si="202"/>
        <v>45.62786243314878</v>
      </c>
      <c r="BL123" s="195">
        <f t="shared" si="202"/>
        <v>42.05749623702133</v>
      </c>
      <c r="BM123" s="27">
        <f t="shared" si="202"/>
        <v>46.69357447870601</v>
      </c>
      <c r="BN123" s="27">
        <f t="shared" si="202"/>
        <v>26.1299154673593</v>
      </c>
      <c r="BO123" s="27">
        <f t="shared" si="202"/>
        <v>26.082859202203878</v>
      </c>
      <c r="BP123" s="27">
        <f t="shared" si="202"/>
        <v>16.753062211141255</v>
      </c>
      <c r="BQ123" s="27">
        <f aca="true" t="shared" si="203" ref="BQ123:BZ124">(POWER(BQ89/BK89,2)-1)*100</f>
        <v>14.047852326249654</v>
      </c>
      <c r="BR123" s="27">
        <f t="shared" si="203"/>
        <v>13.506909721201477</v>
      </c>
      <c r="BS123" s="27">
        <f t="shared" si="203"/>
        <v>9.98665724589609</v>
      </c>
      <c r="BT123" s="27">
        <f t="shared" si="203"/>
        <v>41.00961139092012</v>
      </c>
      <c r="BU123" s="27">
        <f t="shared" si="203"/>
        <v>43.93113695850872</v>
      </c>
      <c r="BV123" s="27">
        <f t="shared" si="203"/>
        <v>50.57265317175674</v>
      </c>
      <c r="BW123" s="194">
        <f t="shared" si="203"/>
        <v>53.51131803786677</v>
      </c>
      <c r="BX123" s="195">
        <f t="shared" si="203"/>
        <v>48.052307311592934</v>
      </c>
      <c r="BY123" s="27">
        <f t="shared" si="203"/>
        <v>51.27120078448246</v>
      </c>
      <c r="BZ123" s="27">
        <f t="shared" si="203"/>
        <v>36.11000546729588</v>
      </c>
      <c r="CA123" s="27">
        <f aca="true" t="shared" si="204" ref="CA123:CJ124">(POWER(CA89/BU89,2)-1)*100</f>
        <v>49.961009392103236</v>
      </c>
      <c r="CB123" s="27">
        <f t="shared" si="204"/>
        <v>54.83222353648578</v>
      </c>
      <c r="CC123" s="27">
        <f t="shared" si="204"/>
        <v>61.944388948386006</v>
      </c>
      <c r="CD123" s="27">
        <f t="shared" si="204"/>
        <v>58.82850085690519</v>
      </c>
      <c r="CE123" s="27">
        <f t="shared" si="204"/>
        <v>49.70381507841017</v>
      </c>
      <c r="CF123" s="27">
        <f t="shared" si="204"/>
        <v>35.7521695876714</v>
      </c>
      <c r="CG123" s="27">
        <f t="shared" si="204"/>
        <v>30.04643222443628</v>
      </c>
      <c r="CH123" s="27">
        <f t="shared" si="204"/>
        <v>23.78351789111082</v>
      </c>
      <c r="CI123" s="194">
        <f t="shared" si="204"/>
        <v>18.828233577093776</v>
      </c>
      <c r="CJ123" s="195">
        <f t="shared" si="204"/>
        <v>18.27121474212663</v>
      </c>
      <c r="CK123" s="27">
        <f aca="true" t="shared" si="205" ref="CK123:CT124">(POWER(CK89/CE89,2)-1)*100</f>
        <v>12.559438225229492</v>
      </c>
      <c r="CL123" s="27">
        <f t="shared" si="205"/>
        <v>7.484820975035156</v>
      </c>
      <c r="CM123" s="27">
        <f t="shared" si="205"/>
        <v>5.237927967006595</v>
      </c>
      <c r="CN123" s="27">
        <f t="shared" si="205"/>
        <v>2.777617585418124</v>
      </c>
      <c r="CO123" s="27">
        <f t="shared" si="205"/>
        <v>5.647393202979112</v>
      </c>
      <c r="CP123" s="27">
        <f t="shared" si="205"/>
        <v>12.571616964907207</v>
      </c>
      <c r="CQ123" s="27">
        <f t="shared" si="205"/>
        <v>18.447834043411902</v>
      </c>
      <c r="CR123" s="27">
        <f t="shared" si="205"/>
        <v>25.38957253191787</v>
      </c>
      <c r="CS123" s="27">
        <f t="shared" si="205"/>
        <v>32.95268006615788</v>
      </c>
      <c r="CT123" s="27">
        <f t="shared" si="205"/>
        <v>39.42654426789205</v>
      </c>
      <c r="CU123" s="194">
        <f aca="true" t="shared" si="206" ref="CU123:DD124">(POWER(CU89/CO89,2)-1)*100</f>
        <v>37.98651015827168</v>
      </c>
      <c r="CV123" s="27">
        <f t="shared" si="206"/>
        <v>19.456951041322323</v>
      </c>
      <c r="CW123" s="27">
        <f t="shared" si="206"/>
        <v>18.531091813053834</v>
      </c>
      <c r="CX123" s="27">
        <f t="shared" si="206"/>
        <v>23.351828017743493</v>
      </c>
      <c r="CY123" s="27">
        <f t="shared" si="206"/>
        <v>18.979545014812228</v>
      </c>
      <c r="CZ123" s="27">
        <f t="shared" si="206"/>
        <v>4.209498739171558</v>
      </c>
      <c r="DA123" s="27">
        <f t="shared" si="206"/>
        <v>-6.114155231060991</v>
      </c>
      <c r="DB123" s="197">
        <f t="shared" si="206"/>
        <v>1.5363066845160978</v>
      </c>
      <c r="DC123" s="109">
        <f t="shared" si="206"/>
        <v>2.5055672996798117</v>
      </c>
      <c r="DD123" s="103">
        <f t="shared" si="206"/>
        <v>-2.405626302999664</v>
      </c>
      <c r="DE123" s="103">
        <f aca="true" t="shared" si="207" ref="DE123:DN124">(POWER(DE89/CY89,2)-1)*100</f>
        <v>-5.878479565525296</v>
      </c>
      <c r="DF123" s="101">
        <f t="shared" si="207"/>
        <v>3.5167335969833458</v>
      </c>
      <c r="DG123" s="127">
        <f t="shared" si="207"/>
        <v>10.858976195329827</v>
      </c>
      <c r="DH123" s="104">
        <f t="shared" si="207"/>
        <v>11.81684211778482</v>
      </c>
      <c r="DI123" s="101">
        <f t="shared" si="207"/>
        <v>13.06791688474538</v>
      </c>
      <c r="DJ123" s="101">
        <f t="shared" si="207"/>
        <v>17.93104054939456</v>
      </c>
      <c r="DK123" s="109">
        <f t="shared" si="207"/>
        <v>28.58824059529401</v>
      </c>
      <c r="DL123" s="109">
        <f t="shared" si="207"/>
        <v>27.96564620200104</v>
      </c>
      <c r="DM123" s="109">
        <f t="shared" si="207"/>
        <v>24.87368192467361</v>
      </c>
      <c r="DN123" s="109">
        <f t="shared" si="207"/>
        <v>22.183734077432526</v>
      </c>
      <c r="DO123" s="109">
        <f aca="true" t="shared" si="208" ref="DO123:DX124">(POWER(DO89/DI89,2)-1)*100</f>
        <v>14.392112435388116</v>
      </c>
      <c r="DP123" s="109">
        <f t="shared" si="208"/>
        <v>16.575341238186738</v>
      </c>
      <c r="DQ123" s="109">
        <f t="shared" si="208"/>
        <v>6.322843818370227</v>
      </c>
      <c r="DR123" s="109">
        <f t="shared" si="208"/>
        <v>5.043991615029397</v>
      </c>
      <c r="DS123" s="137">
        <f t="shared" si="208"/>
        <v>7.457560253915019</v>
      </c>
      <c r="DT123" s="138">
        <f t="shared" si="208"/>
        <v>10.733849144607888</v>
      </c>
      <c r="DU123" s="113">
        <f t="shared" si="208"/>
        <v>8.411730982863252</v>
      </c>
      <c r="DV123" s="113">
        <f t="shared" si="208"/>
        <v>3.85975043485558</v>
      </c>
      <c r="DW123" s="113">
        <f t="shared" si="208"/>
        <v>5.661753067891806</v>
      </c>
      <c r="DX123" s="113">
        <f t="shared" si="208"/>
        <v>0.6528909435191022</v>
      </c>
      <c r="DY123" s="113">
        <f aca="true" t="shared" si="209" ref="DY123:EH124">(POWER(DY89/DS89,2)-1)*100</f>
        <v>-2.8294487509629818</v>
      </c>
      <c r="DZ123" s="113">
        <f t="shared" si="209"/>
        <v>-3.406540903043498</v>
      </c>
      <c r="EA123" s="113">
        <f t="shared" si="209"/>
        <v>-7.485637394900769</v>
      </c>
      <c r="EB123" s="113">
        <f t="shared" si="209"/>
        <v>-8.009202885846667</v>
      </c>
      <c r="EC123" s="113">
        <f t="shared" si="209"/>
        <v>-6.902596705518283</v>
      </c>
      <c r="ED123" s="103">
        <f t="shared" si="209"/>
        <v>-4.981350450659816</v>
      </c>
      <c r="EE123" s="131">
        <f t="shared" si="209"/>
        <v>-0.23893705632096474</v>
      </c>
      <c r="EF123" s="113">
        <f t="shared" si="209"/>
        <v>-10.982949994908541</v>
      </c>
      <c r="EG123" s="113">
        <f t="shared" si="209"/>
        <v>-4.600536453161097</v>
      </c>
      <c r="EH123" s="113">
        <f t="shared" si="209"/>
        <v>3.5789427887271463</v>
      </c>
      <c r="EI123" s="113">
        <f aca="true" t="shared" si="210" ref="EI123:FQ124">(POWER(EI89/EC89,2)-1)*100</f>
        <v>0.7345828497583584</v>
      </c>
      <c r="EJ123" s="113">
        <f t="shared" si="210"/>
        <v>7.006008508398764</v>
      </c>
      <c r="EK123" s="113">
        <f t="shared" si="210"/>
        <v>-2.6509882068569413</v>
      </c>
      <c r="EL123" s="113">
        <f t="shared" si="210"/>
        <v>2.745627679906004</v>
      </c>
      <c r="EM123" s="113">
        <f t="shared" si="210"/>
        <v>0.6625765010927376</v>
      </c>
      <c r="EN123" s="113">
        <f t="shared" si="210"/>
        <v>-8.607756596030104</v>
      </c>
      <c r="EO123" s="113">
        <f t="shared" si="210"/>
        <v>-10.319216632106743</v>
      </c>
      <c r="EP123" s="113">
        <f t="shared" si="210"/>
        <v>-17.312811260598526</v>
      </c>
      <c r="EQ123" s="131">
        <f t="shared" si="210"/>
        <v>-16.763189501502072</v>
      </c>
      <c r="ER123" s="106">
        <f t="shared" si="210"/>
        <v>-11.815273706917196</v>
      </c>
      <c r="ES123" s="103">
        <f t="shared" si="210"/>
        <v>-2.83945799578752</v>
      </c>
      <c r="ET123" s="103">
        <f t="shared" si="210"/>
        <v>3.4096236054275364</v>
      </c>
      <c r="EU123" s="103">
        <f t="shared" si="210"/>
        <v>7.510526430655706</v>
      </c>
      <c r="EV123" s="103">
        <f t="shared" si="210"/>
        <v>13.861343045922014</v>
      </c>
      <c r="EW123" s="103">
        <f t="shared" si="210"/>
        <v>13.978914281030264</v>
      </c>
      <c r="EX123" s="103">
        <f t="shared" si="210"/>
        <v>15.75850273250008</v>
      </c>
      <c r="EY123" s="103">
        <f t="shared" si="210"/>
        <v>12.320047548710345</v>
      </c>
      <c r="EZ123" s="103">
        <f t="shared" si="210"/>
        <v>7.137608271316909</v>
      </c>
      <c r="FA123" s="103">
        <f t="shared" si="210"/>
        <v>2.284854219025667</v>
      </c>
      <c r="FB123" s="103">
        <f t="shared" si="210"/>
        <v>-0.9201731977428462</v>
      </c>
      <c r="FC123" s="131">
        <f t="shared" si="210"/>
        <v>2.5178352675712112</v>
      </c>
      <c r="FD123" s="368">
        <f t="shared" si="210"/>
        <v>0.7363015511972604</v>
      </c>
      <c r="FE123" s="368">
        <f t="shared" si="210"/>
        <v>-1.71761724823708</v>
      </c>
      <c r="FF123" s="368">
        <f t="shared" si="210"/>
        <v>-1.9019469909905218</v>
      </c>
      <c r="FG123" s="368">
        <f t="shared" si="210"/>
        <v>-4.18322456544622</v>
      </c>
      <c r="FH123" s="368">
        <f t="shared" si="210"/>
        <v>-0.6432865011815392</v>
      </c>
      <c r="FI123" s="368">
        <f t="shared" si="210"/>
        <v>-1.0884502895747494</v>
      </c>
      <c r="FJ123" s="368">
        <f t="shared" si="210"/>
        <v>0.46524351950740783</v>
      </c>
      <c r="FK123" s="368">
        <f t="shared" si="210"/>
        <v>-0.700453988333416</v>
      </c>
      <c r="FL123" s="368">
        <f t="shared" si="210"/>
        <v>-2.275206435985122</v>
      </c>
      <c r="FM123" s="368">
        <f t="shared" si="210"/>
        <v>1.1956572501659268</v>
      </c>
      <c r="FN123" s="368">
        <f aca="true" t="shared" si="211" ref="FN123:FV123">(POWER(FN89/FH89,2)-1)*100</f>
        <v>3.0780294684700227</v>
      </c>
      <c r="FO123" s="368">
        <f t="shared" si="211"/>
        <v>2.330507516483604</v>
      </c>
      <c r="FP123" s="368">
        <f t="shared" si="211"/>
        <v>-2.4157576411421133</v>
      </c>
      <c r="FQ123" s="368">
        <f t="shared" si="211"/>
        <v>-3.1268306897692777</v>
      </c>
      <c r="FR123" s="368">
        <f t="shared" si="211"/>
        <v>-5.26148047452315</v>
      </c>
      <c r="FS123" s="368">
        <f t="shared" si="211"/>
        <v>-3.8353539527062774</v>
      </c>
      <c r="FT123" s="368">
        <f t="shared" si="211"/>
        <v>-6.300937854291067</v>
      </c>
      <c r="FU123" s="368">
        <f>(POWER(FU89/FO89,2)-1)*100</f>
        <v>-3.951075928842729</v>
      </c>
      <c r="FV123" s="368">
        <f t="shared" si="211"/>
        <v>1.1524487331153077</v>
      </c>
      <c r="FW123" s="368">
        <f aca="true" t="shared" si="212" ref="FW123:FY124">(POWER(FW89/FQ89,2)-1)*100</f>
        <v>5.556218266674051</v>
      </c>
      <c r="FX123" s="368">
        <f t="shared" si="212"/>
        <v>14.558087748873639</v>
      </c>
      <c r="FY123" s="368">
        <f t="shared" si="212"/>
        <v>11.20247008986266</v>
      </c>
      <c r="FZ123" s="368">
        <f aca="true" t="shared" si="213" ref="FZ123:GC124">(POWER(FZ89/FT89,2)-1)*100</f>
        <v>11.977171814459254</v>
      </c>
      <c r="GA123" s="368">
        <f t="shared" si="213"/>
        <v>12.689996752192933</v>
      </c>
      <c r="GB123" s="372">
        <f>(POWER(GB89/FV89,2)-1)*100</f>
        <v>3.247232277068113</v>
      </c>
      <c r="GC123" s="372">
        <f>(POWER(GC89/FW89,2)-1)*100</f>
        <v>1.6861397509864373</v>
      </c>
      <c r="GD123" s="63"/>
    </row>
    <row r="124" spans="1:186" ht="15" customHeight="1">
      <c r="A124" s="3"/>
      <c r="B124" s="117" t="s">
        <v>9</v>
      </c>
      <c r="C124" s="19"/>
      <c r="D124" s="35"/>
      <c r="E124" s="36"/>
      <c r="F124" s="36"/>
      <c r="G124" s="36"/>
      <c r="H124" s="36"/>
      <c r="I124" s="36">
        <f t="shared" si="197"/>
        <v>73.06645559140289</v>
      </c>
      <c r="J124" s="36">
        <f t="shared" si="197"/>
        <v>58.296618001453226</v>
      </c>
      <c r="K124" s="36">
        <f t="shared" si="197"/>
        <v>60.06158529600205</v>
      </c>
      <c r="L124" s="36">
        <f t="shared" si="197"/>
        <v>53.14023333674871</v>
      </c>
      <c r="M124" s="36">
        <f t="shared" si="197"/>
        <v>34.70719917397717</v>
      </c>
      <c r="N124" s="36">
        <f t="shared" si="197"/>
        <v>35.17959658128513</v>
      </c>
      <c r="O124" s="37">
        <f t="shared" si="197"/>
        <v>79.47269892701247</v>
      </c>
      <c r="P124" s="35">
        <f t="shared" si="197"/>
        <v>77.34152509333497</v>
      </c>
      <c r="Q124" s="36">
        <f t="shared" si="197"/>
        <v>76.65299546301627</v>
      </c>
      <c r="R124" s="36">
        <f t="shared" si="197"/>
        <v>94.99872449813908</v>
      </c>
      <c r="S124" s="36">
        <f t="shared" si="198"/>
        <v>105.121667694408</v>
      </c>
      <c r="T124" s="36">
        <f t="shared" si="198"/>
        <v>97.39041874833214</v>
      </c>
      <c r="U124" s="36">
        <f t="shared" si="198"/>
        <v>26.67728446005071</v>
      </c>
      <c r="V124" s="36">
        <f t="shared" si="198"/>
        <v>26.612108034800585</v>
      </c>
      <c r="W124" s="36">
        <f t="shared" si="198"/>
        <v>5.9627554421468165</v>
      </c>
      <c r="X124" s="36">
        <f t="shared" si="198"/>
        <v>-7.361137812126827</v>
      </c>
      <c r="Y124" s="36">
        <f t="shared" si="198"/>
        <v>4.700047342117086</v>
      </c>
      <c r="Z124" s="36">
        <f t="shared" si="198"/>
        <v>-8.674232570239326</v>
      </c>
      <c r="AA124" s="37">
        <f t="shared" si="198"/>
        <v>13.353322616157314</v>
      </c>
      <c r="AB124" s="35">
        <f t="shared" si="198"/>
        <v>18.309792346042396</v>
      </c>
      <c r="AC124" s="36">
        <f t="shared" si="199"/>
        <v>42.06169566647815</v>
      </c>
      <c r="AD124" s="36">
        <f t="shared" si="199"/>
        <v>61.59444860199332</v>
      </c>
      <c r="AE124" s="36">
        <f t="shared" si="199"/>
        <v>43.67223853003417</v>
      </c>
      <c r="AF124" s="36">
        <f t="shared" si="199"/>
        <v>66.5484374596925</v>
      </c>
      <c r="AG124" s="36">
        <f t="shared" si="199"/>
        <v>41.80521296702844</v>
      </c>
      <c r="AH124" s="36">
        <f t="shared" si="199"/>
        <v>51.96088949036142</v>
      </c>
      <c r="AI124" s="36">
        <f t="shared" si="199"/>
        <v>50.9019589840348</v>
      </c>
      <c r="AJ124" s="36">
        <f t="shared" si="199"/>
        <v>31.40920542554264</v>
      </c>
      <c r="AK124" s="36">
        <f t="shared" si="199"/>
        <v>34.57763268780791</v>
      </c>
      <c r="AL124" s="36">
        <f t="shared" si="199"/>
        <v>31.72413425435783</v>
      </c>
      <c r="AM124" s="37">
        <f t="shared" si="200"/>
        <v>45.33167031329348</v>
      </c>
      <c r="AN124" s="26">
        <f t="shared" si="200"/>
        <v>-5.149788363612551</v>
      </c>
      <c r="AO124" s="27">
        <f t="shared" si="200"/>
        <v>-9.2405902211818</v>
      </c>
      <c r="AP124" s="27">
        <f t="shared" si="200"/>
        <v>-4.82924903833174</v>
      </c>
      <c r="AQ124" s="27">
        <f t="shared" si="200"/>
        <v>-3.992500065045379</v>
      </c>
      <c r="AR124" s="27">
        <f t="shared" si="200"/>
        <v>-14.772670659942367</v>
      </c>
      <c r="AS124" s="27">
        <f t="shared" si="200"/>
        <v>-20.538168277349513</v>
      </c>
      <c r="AT124" s="27">
        <f t="shared" si="200"/>
        <v>14.081372953246651</v>
      </c>
      <c r="AU124" s="27">
        <f t="shared" si="200"/>
        <v>20.156918874603956</v>
      </c>
      <c r="AV124" s="27">
        <f t="shared" si="200"/>
        <v>45.450547965397824</v>
      </c>
      <c r="AW124" s="27">
        <f t="shared" si="201"/>
        <v>49.98060561833344</v>
      </c>
      <c r="AX124" s="27">
        <f t="shared" si="201"/>
        <v>68.00719304293467</v>
      </c>
      <c r="AY124" s="194">
        <f t="shared" si="201"/>
        <v>105.78376572497822</v>
      </c>
      <c r="AZ124" s="27">
        <f t="shared" si="201"/>
        <v>90.73250841339173</v>
      </c>
      <c r="BA124" s="27">
        <f t="shared" si="201"/>
        <v>55.89924642091199</v>
      </c>
      <c r="BB124" s="27">
        <f t="shared" si="201"/>
        <v>32.32403921650749</v>
      </c>
      <c r="BC124" s="27">
        <f t="shared" si="201"/>
        <v>23.75079685597501</v>
      </c>
      <c r="BD124" s="27">
        <f t="shared" si="201"/>
        <v>27.680488635231914</v>
      </c>
      <c r="BE124" s="27">
        <f t="shared" si="201"/>
        <v>11.634793201215965</v>
      </c>
      <c r="BF124" s="27">
        <f t="shared" si="201"/>
        <v>21.686921045755405</v>
      </c>
      <c r="BG124" s="27">
        <f t="shared" si="202"/>
        <v>48.39966498934491</v>
      </c>
      <c r="BH124" s="27">
        <f t="shared" si="202"/>
        <v>57.673958199890826</v>
      </c>
      <c r="BI124" s="27">
        <f t="shared" si="202"/>
        <v>43.97975608901383</v>
      </c>
      <c r="BJ124" s="27">
        <f t="shared" si="202"/>
        <v>59.60681469856042</v>
      </c>
      <c r="BK124" s="194">
        <f t="shared" si="202"/>
        <v>50.327350264281634</v>
      </c>
      <c r="BL124" s="195">
        <f t="shared" si="202"/>
        <v>47.21235359378435</v>
      </c>
      <c r="BM124" s="27">
        <f t="shared" si="202"/>
        <v>48.724659659487536</v>
      </c>
      <c r="BN124" s="27">
        <f t="shared" si="202"/>
        <v>29.134136485475114</v>
      </c>
      <c r="BO124" s="27">
        <f t="shared" si="202"/>
        <v>37.68260910551786</v>
      </c>
      <c r="BP124" s="27">
        <f t="shared" si="202"/>
        <v>21.124510870895485</v>
      </c>
      <c r="BQ124" s="27">
        <f t="shared" si="203"/>
        <v>17.24325220861558</v>
      </c>
      <c r="BR124" s="27">
        <f t="shared" si="203"/>
        <v>15.004538732095817</v>
      </c>
      <c r="BS124" s="27">
        <f t="shared" si="203"/>
        <v>11.077125079204553</v>
      </c>
      <c r="BT124" s="27">
        <f t="shared" si="203"/>
        <v>35.15249456389344</v>
      </c>
      <c r="BU124" s="27">
        <f t="shared" si="203"/>
        <v>36.61886236932905</v>
      </c>
      <c r="BV124" s="27">
        <f t="shared" si="203"/>
        <v>40.55049773991091</v>
      </c>
      <c r="BW124" s="194">
        <f t="shared" si="203"/>
        <v>44.41160258495456</v>
      </c>
      <c r="BX124" s="195">
        <f t="shared" si="203"/>
        <v>41.79815893822072</v>
      </c>
      <c r="BY124" s="27">
        <f t="shared" si="203"/>
        <v>44.22987246651597</v>
      </c>
      <c r="BZ124" s="27">
        <f t="shared" si="203"/>
        <v>31.36616650654971</v>
      </c>
      <c r="CA124" s="27">
        <f t="shared" si="204"/>
        <v>42.43191515086671</v>
      </c>
      <c r="CB124" s="27">
        <f t="shared" si="204"/>
        <v>46.60923969111981</v>
      </c>
      <c r="CC124" s="27">
        <f t="shared" si="204"/>
        <v>51.0857457330367</v>
      </c>
      <c r="CD124" s="27">
        <f t="shared" si="204"/>
        <v>46.19374570726742</v>
      </c>
      <c r="CE124" s="27">
        <f t="shared" si="204"/>
        <v>39.94454190024885</v>
      </c>
      <c r="CF124" s="27">
        <f t="shared" si="204"/>
        <v>30.195673580152537</v>
      </c>
      <c r="CG124" s="27">
        <f t="shared" si="204"/>
        <v>25.125869251719024</v>
      </c>
      <c r="CH124" s="27">
        <f t="shared" si="204"/>
        <v>20.357662344992235</v>
      </c>
      <c r="CI124" s="194">
        <f t="shared" si="204"/>
        <v>16.898952181238247</v>
      </c>
      <c r="CJ124" s="195">
        <f t="shared" si="204"/>
        <v>18.44485377742615</v>
      </c>
      <c r="CK124" s="27">
        <f t="shared" si="205"/>
        <v>12.242428445574372</v>
      </c>
      <c r="CL124" s="27">
        <f t="shared" si="205"/>
        <v>8.128476493596516</v>
      </c>
      <c r="CM124" s="27">
        <f t="shared" si="205"/>
        <v>6.9799750549483175</v>
      </c>
      <c r="CN124" s="27">
        <f t="shared" si="205"/>
        <v>4.872295190174758</v>
      </c>
      <c r="CO124" s="27">
        <f t="shared" si="205"/>
        <v>6.51486926834135</v>
      </c>
      <c r="CP124" s="27">
        <f t="shared" si="205"/>
        <v>12.29188751478667</v>
      </c>
      <c r="CQ124" s="27">
        <f t="shared" si="205"/>
        <v>18.84065480602306</v>
      </c>
      <c r="CR124" s="27">
        <f t="shared" si="205"/>
        <v>24.078095831825696</v>
      </c>
      <c r="CS124" s="27">
        <f t="shared" si="205"/>
        <v>28.371786762200692</v>
      </c>
      <c r="CT124" s="27">
        <f t="shared" si="205"/>
        <v>33.91726343653656</v>
      </c>
      <c r="CU124" s="194">
        <f t="shared" si="206"/>
        <v>34.130308603321915</v>
      </c>
      <c r="CV124" s="27">
        <f t="shared" si="206"/>
        <v>17.620720121503197</v>
      </c>
      <c r="CW124" s="27">
        <f t="shared" si="206"/>
        <v>17.111446633338367</v>
      </c>
      <c r="CX124" s="27">
        <f t="shared" si="206"/>
        <v>22.39574838173628</v>
      </c>
      <c r="CY124" s="27">
        <f t="shared" si="206"/>
        <v>20.225405200886716</v>
      </c>
      <c r="CZ124" s="27">
        <f t="shared" si="206"/>
        <v>6.678621902224835</v>
      </c>
      <c r="DA124" s="27">
        <f t="shared" si="206"/>
        <v>-2.699807195461934</v>
      </c>
      <c r="DB124" s="197">
        <f t="shared" si="206"/>
        <v>4.4879763603908</v>
      </c>
      <c r="DC124" s="109">
        <f t="shared" si="206"/>
        <v>5.4207994134892745</v>
      </c>
      <c r="DD124" s="203">
        <f t="shared" si="206"/>
        <v>0.8290984906157872</v>
      </c>
      <c r="DE124" s="103">
        <f t="shared" si="207"/>
        <v>-1.927437660170861</v>
      </c>
      <c r="DF124" s="101">
        <f t="shared" si="207"/>
        <v>5.786100538006789</v>
      </c>
      <c r="DG124" s="127">
        <f t="shared" si="207"/>
        <v>12.35160317386368</v>
      </c>
      <c r="DH124" s="104">
        <f t="shared" si="207"/>
        <v>12.528746887136567</v>
      </c>
      <c r="DI124" s="101">
        <f t="shared" si="207"/>
        <v>13.854049119881552</v>
      </c>
      <c r="DJ124" s="101">
        <f t="shared" si="207"/>
        <v>17.676843585925273</v>
      </c>
      <c r="DK124" s="109">
        <f t="shared" si="207"/>
        <v>26.4911493276883</v>
      </c>
      <c r="DL124" s="109">
        <f t="shared" si="207"/>
        <v>27.066995483111246</v>
      </c>
      <c r="DM124" s="109">
        <f t="shared" si="207"/>
        <v>24.412376969897064</v>
      </c>
      <c r="DN124" s="109">
        <f t="shared" si="207"/>
        <v>21.99521554923951</v>
      </c>
      <c r="DO124" s="109">
        <f t="shared" si="208"/>
        <v>14.681763388718384</v>
      </c>
      <c r="DP124" s="109">
        <f t="shared" si="208"/>
        <v>16.441331084210642</v>
      </c>
      <c r="DQ124" s="109">
        <f t="shared" si="208"/>
        <v>7.756673467890862</v>
      </c>
      <c r="DR124" s="109">
        <f t="shared" si="208"/>
        <v>6.632366119067967</v>
      </c>
      <c r="DS124" s="137">
        <f t="shared" si="208"/>
        <v>8.498797714217975</v>
      </c>
      <c r="DT124" s="138">
        <f t="shared" si="208"/>
        <v>11.859199881553572</v>
      </c>
      <c r="DU124" s="113">
        <f t="shared" si="208"/>
        <v>9.769753501655408</v>
      </c>
      <c r="DV124" s="113">
        <f t="shared" si="208"/>
        <v>5.1478633817848785</v>
      </c>
      <c r="DW124" s="113">
        <f t="shared" si="208"/>
        <v>6.776563880102038</v>
      </c>
      <c r="DX124" s="113">
        <f t="shared" si="208"/>
        <v>2.757677203465203</v>
      </c>
      <c r="DY124" s="113">
        <f t="shared" si="209"/>
        <v>-2.484403156683146</v>
      </c>
      <c r="DZ124" s="113">
        <f t="shared" si="209"/>
        <v>-2.824231141881728</v>
      </c>
      <c r="EA124" s="113">
        <f t="shared" si="209"/>
        <v>-0.5049536263099563</v>
      </c>
      <c r="EB124" s="113">
        <f t="shared" si="209"/>
        <v>1.4797144713082133</v>
      </c>
      <c r="EC124" s="113">
        <f t="shared" si="209"/>
        <v>2.3142300398706572</v>
      </c>
      <c r="ED124" s="103">
        <f t="shared" si="209"/>
        <v>3.66012877548636</v>
      </c>
      <c r="EE124" s="131">
        <f t="shared" si="209"/>
        <v>9.8038115582048</v>
      </c>
      <c r="EF124" s="113">
        <f t="shared" si="209"/>
        <v>-0.46242712620025994</v>
      </c>
      <c r="EG124" s="113">
        <f t="shared" si="209"/>
        <v>-1.0365076368134774</v>
      </c>
      <c r="EH124" s="113">
        <f t="shared" si="209"/>
        <v>3.4176119359141</v>
      </c>
      <c r="EI124" s="113">
        <f t="shared" si="210"/>
        <v>1.142905832039709</v>
      </c>
      <c r="EJ124" s="113">
        <f t="shared" si="210"/>
        <v>5.98529991471628</v>
      </c>
      <c r="EK124" s="113">
        <f t="shared" si="210"/>
        <v>-2.405775379240227</v>
      </c>
      <c r="EL124" s="113">
        <f t="shared" si="210"/>
        <v>1.8276685541128712</v>
      </c>
      <c r="EM124" s="113">
        <f t="shared" si="210"/>
        <v>-0.6735708061779477</v>
      </c>
      <c r="EN124" s="113">
        <f t="shared" si="210"/>
        <v>-8.29327829697557</v>
      </c>
      <c r="EO124" s="113">
        <f t="shared" si="210"/>
        <v>-10.29053776149842</v>
      </c>
      <c r="EP124" s="113">
        <f t="shared" si="210"/>
        <v>-16.241581128624006</v>
      </c>
      <c r="EQ124" s="131">
        <f t="shared" si="210"/>
        <v>-15.081811287877445</v>
      </c>
      <c r="ER124" s="106">
        <f t="shared" si="210"/>
        <v>-11.714367754436328</v>
      </c>
      <c r="ES124" s="103">
        <f t="shared" si="210"/>
        <v>-4.340627108187778</v>
      </c>
      <c r="ET124" s="103">
        <f t="shared" si="210"/>
        <v>0.5125363372269431</v>
      </c>
      <c r="EU124" s="103">
        <f t="shared" si="210"/>
        <v>4.80191277588764</v>
      </c>
      <c r="EV124" s="103">
        <f t="shared" si="210"/>
        <v>10.595138024195627</v>
      </c>
      <c r="EW124" s="103">
        <f t="shared" si="210"/>
        <v>10.29386294893111</v>
      </c>
      <c r="EX124" s="103">
        <f t="shared" si="210"/>
        <v>12.57614105966991</v>
      </c>
      <c r="EY124" s="103">
        <f t="shared" si="210"/>
        <v>10.328582613311221</v>
      </c>
      <c r="EZ124" s="103">
        <f t="shared" si="210"/>
        <v>7.207868079642421</v>
      </c>
      <c r="FA124" s="103">
        <f t="shared" si="210"/>
        <v>3.0752788497647066</v>
      </c>
      <c r="FB124" s="103">
        <f t="shared" si="210"/>
        <v>-0.1833621361091331</v>
      </c>
      <c r="FC124" s="131">
        <f t="shared" si="210"/>
        <v>3.1134865094817776</v>
      </c>
      <c r="FD124" s="368">
        <f t="shared" si="210"/>
        <v>1.9642244662260389</v>
      </c>
      <c r="FE124" s="368">
        <f t="shared" si="210"/>
        <v>0.18642079321116167</v>
      </c>
      <c r="FF124" s="368">
        <f t="shared" si="210"/>
        <v>-1.3143883423606062</v>
      </c>
      <c r="FG124" s="368">
        <f t="shared" si="210"/>
        <v>-3.439207338052608</v>
      </c>
      <c r="FH124" s="368">
        <f t="shared" si="210"/>
        <v>-0.2912758981879815</v>
      </c>
      <c r="FI124" s="368">
        <f t="shared" si="210"/>
        <v>-1.1320834400392998</v>
      </c>
      <c r="FJ124" s="368">
        <f t="shared" si="210"/>
        <v>0.6364613809159536</v>
      </c>
      <c r="FK124" s="368">
        <f t="shared" si="210"/>
        <v>0.5456023340254523</v>
      </c>
      <c r="FL124" s="368">
        <f t="shared" si="210"/>
        <v>-0.2139231539686759</v>
      </c>
      <c r="FM124" s="368">
        <f t="shared" si="210"/>
        <v>2.4946003181995247</v>
      </c>
      <c r="FN124" s="368">
        <f t="shared" si="210"/>
        <v>4.048815522547189</v>
      </c>
      <c r="FO124" s="368">
        <f t="shared" si="210"/>
        <v>4.290218086274011</v>
      </c>
      <c r="FP124" s="368">
        <f t="shared" si="210"/>
        <v>-0.5829939803073891</v>
      </c>
      <c r="FQ124" s="368">
        <f t="shared" si="210"/>
        <v>-1.56510107043496</v>
      </c>
      <c r="FR124" s="368">
        <f>(POWER(FR90/FL90,2)-1)*100</f>
        <v>-2.862700387611594</v>
      </c>
      <c r="FS124" s="368">
        <f>(POWER(FS90/FM90,2)-1)*100</f>
        <v>-2.1722075503077365</v>
      </c>
      <c r="FT124" s="368">
        <f>(POWER(FT90/FN90,2)-1)*100</f>
        <v>-3.988440816275729</v>
      </c>
      <c r="FU124" s="368">
        <f>(POWER(FU90/FO90,2)-1)*100</f>
        <v>-2.709449650905904</v>
      </c>
      <c r="FV124" s="368">
        <f>(POWER(FV90/FP90,2)-1)*100</f>
        <v>1.969746915121906</v>
      </c>
      <c r="FW124" s="368">
        <f t="shared" si="212"/>
        <v>6.01888666143775</v>
      </c>
      <c r="FX124" s="368">
        <f t="shared" si="212"/>
        <v>13.430037245339467</v>
      </c>
      <c r="FY124" s="368">
        <f t="shared" si="212"/>
        <v>11.475103640247596</v>
      </c>
      <c r="FZ124" s="368">
        <f t="shared" si="213"/>
        <v>12.018789471864055</v>
      </c>
      <c r="GA124" s="368">
        <f t="shared" si="213"/>
        <v>12.799563511643797</v>
      </c>
      <c r="GB124" s="372">
        <f t="shared" si="213"/>
        <v>5.355873104314046</v>
      </c>
      <c r="GC124" s="372">
        <f t="shared" si="213"/>
        <v>3.313761243296187</v>
      </c>
      <c r="GD124" s="63"/>
    </row>
    <row r="125" spans="1:186" ht="15" customHeight="1">
      <c r="A125" s="3"/>
      <c r="B125" s="198" t="s">
        <v>7</v>
      </c>
      <c r="C125" s="19"/>
      <c r="D125" s="35"/>
      <c r="E125" s="36"/>
      <c r="F125" s="36"/>
      <c r="G125" s="36"/>
      <c r="H125" s="36"/>
      <c r="I125" s="36">
        <f aca="true" t="shared" si="214" ref="I125:AN125">(POWER(I51/C51,2)-1)*100</f>
        <v>492.0433793437093</v>
      </c>
      <c r="J125" s="36">
        <f t="shared" si="214"/>
        <v>811.8475452990763</v>
      </c>
      <c r="K125" s="36">
        <f t="shared" si="214"/>
        <v>387.0753303993068</v>
      </c>
      <c r="L125" s="36">
        <f t="shared" si="214"/>
        <v>714.8549247883595</v>
      </c>
      <c r="M125" s="36">
        <f t="shared" si="214"/>
        <v>351.9057288385155</v>
      </c>
      <c r="N125" s="36">
        <f t="shared" si="214"/>
        <v>299.22928726956013</v>
      </c>
      <c r="O125" s="37">
        <f t="shared" si="214"/>
        <v>370.20322356554016</v>
      </c>
      <c r="P125" s="35">
        <f t="shared" si="214"/>
        <v>252.51845623107897</v>
      </c>
      <c r="Q125" s="36">
        <f t="shared" si="214"/>
        <v>304.6853828676395</v>
      </c>
      <c r="R125" s="36">
        <f t="shared" si="214"/>
        <v>235.49829156691925</v>
      </c>
      <c r="S125" s="36">
        <f t="shared" si="214"/>
        <v>209.29978501292067</v>
      </c>
      <c r="T125" s="36">
        <f t="shared" si="214"/>
        <v>166.68260697786928</v>
      </c>
      <c r="U125" s="36">
        <f t="shared" si="214"/>
        <v>64.98955190515187</v>
      </c>
      <c r="V125" s="36">
        <f t="shared" si="214"/>
        <v>15.451912386276788</v>
      </c>
      <c r="W125" s="36">
        <f t="shared" si="214"/>
        <v>-12.289475279306227</v>
      </c>
      <c r="X125" s="36">
        <f t="shared" si="214"/>
        <v>-2.0444663319969525</v>
      </c>
      <c r="Y125" s="36">
        <f t="shared" si="214"/>
        <v>45.2522970950914</v>
      </c>
      <c r="Z125" s="36">
        <f t="shared" si="214"/>
        <v>32.41496771556955</v>
      </c>
      <c r="AA125" s="37">
        <f t="shared" si="214"/>
        <v>88.87772286609655</v>
      </c>
      <c r="AB125" s="35">
        <f t="shared" si="214"/>
        <v>98.93079792179753</v>
      </c>
      <c r="AC125" s="36">
        <f t="shared" si="214"/>
        <v>136.95372814521795</v>
      </c>
      <c r="AD125" s="36">
        <f t="shared" si="214"/>
        <v>109.03573950177345</v>
      </c>
      <c r="AE125" s="36">
        <f t="shared" si="214"/>
        <v>87.15533970058674</v>
      </c>
      <c r="AF125" s="36">
        <f t="shared" si="214"/>
        <v>62.5833410379288</v>
      </c>
      <c r="AG125" s="36">
        <f t="shared" si="214"/>
        <v>14.05470623646412</v>
      </c>
      <c r="AH125" s="36">
        <f t="shared" si="214"/>
        <v>10.208782598773025</v>
      </c>
      <c r="AI125" s="36">
        <f t="shared" si="214"/>
        <v>24.380344884504623</v>
      </c>
      <c r="AJ125" s="36">
        <f t="shared" si="214"/>
        <v>21.318977099328574</v>
      </c>
      <c r="AK125" s="36">
        <f t="shared" si="214"/>
        <v>17.771972331109474</v>
      </c>
      <c r="AL125" s="36">
        <f t="shared" si="214"/>
        <v>1.529813391155277</v>
      </c>
      <c r="AM125" s="37">
        <f t="shared" si="214"/>
        <v>88.37347060977491</v>
      </c>
      <c r="AN125" s="26">
        <f t="shared" si="214"/>
        <v>67.52842746273124</v>
      </c>
      <c r="AO125" s="26">
        <f aca="true" t="shared" si="215" ref="AO125:BT125">(POWER(AO51/AI51,2)-1)*100</f>
        <v>16.25766498801169</v>
      </c>
      <c r="AP125" s="26">
        <f t="shared" si="215"/>
        <v>14.494372060908912</v>
      </c>
      <c r="AQ125" s="26">
        <f t="shared" si="215"/>
        <v>34.84218573692501</v>
      </c>
      <c r="AR125" s="26">
        <f t="shared" si="215"/>
        <v>68.790691453241</v>
      </c>
      <c r="AS125" s="26">
        <f t="shared" si="215"/>
        <v>5.203486194398899</v>
      </c>
      <c r="AT125" s="26">
        <f t="shared" si="215"/>
        <v>41.02043306654741</v>
      </c>
      <c r="AU125" s="26">
        <f t="shared" si="215"/>
        <v>73.46653532089651</v>
      </c>
      <c r="AV125" s="26">
        <f t="shared" si="215"/>
        <v>65.36843953359315</v>
      </c>
      <c r="AW125" s="27">
        <f t="shared" si="215"/>
        <v>49.35584373557778</v>
      </c>
      <c r="AX125" s="26">
        <f t="shared" si="215"/>
        <v>61.61259060082611</v>
      </c>
      <c r="AY125" s="204">
        <f t="shared" si="215"/>
        <v>104.58160325665648</v>
      </c>
      <c r="AZ125" s="27">
        <f t="shared" si="215"/>
        <v>70.9029669443487</v>
      </c>
      <c r="BA125" s="27">
        <f t="shared" si="215"/>
        <v>74.99727080055534</v>
      </c>
      <c r="BB125" s="27">
        <f t="shared" si="215"/>
        <v>100.9452095733383</v>
      </c>
      <c r="BC125" s="27">
        <f t="shared" si="215"/>
        <v>89.46636175895408</v>
      </c>
      <c r="BD125" s="27">
        <f t="shared" si="215"/>
        <v>95.13045561590575</v>
      </c>
      <c r="BE125" s="27">
        <f t="shared" si="215"/>
        <v>47.639021703843284</v>
      </c>
      <c r="BF125" s="27">
        <f t="shared" si="215"/>
        <v>53.111640470143115</v>
      </c>
      <c r="BG125" s="27">
        <f t="shared" si="215"/>
        <v>37.90833380219216</v>
      </c>
      <c r="BH125" s="27">
        <f t="shared" si="215"/>
        <v>57.029102241568765</v>
      </c>
      <c r="BI125" s="27">
        <f t="shared" si="215"/>
        <v>41.45630237634159</v>
      </c>
      <c r="BJ125" s="27">
        <f t="shared" si="215"/>
        <v>35.10416813816528</v>
      </c>
      <c r="BK125" s="194">
        <f t="shared" si="215"/>
        <v>59.87910441509965</v>
      </c>
      <c r="BL125" s="195">
        <f t="shared" si="215"/>
        <v>29.983589814151234</v>
      </c>
      <c r="BM125" s="27">
        <f t="shared" si="215"/>
        <v>20.5628120477116</v>
      </c>
      <c r="BN125" s="27">
        <f t="shared" si="215"/>
        <v>-12.843148471180243</v>
      </c>
      <c r="BO125" s="27">
        <f t="shared" si="215"/>
        <v>-7.907317496830036</v>
      </c>
      <c r="BP125" s="27">
        <f t="shared" si="215"/>
        <v>-20.571211966669832</v>
      </c>
      <c r="BQ125" s="27">
        <f t="shared" si="215"/>
        <v>-31.740746546763997</v>
      </c>
      <c r="BR125" s="27">
        <f t="shared" si="215"/>
        <v>-13.308858244767862</v>
      </c>
      <c r="BS125" s="27">
        <f t="shared" si="215"/>
        <v>-6.521438813610203</v>
      </c>
      <c r="BT125" s="27">
        <f t="shared" si="215"/>
        <v>-8.174859211967222</v>
      </c>
      <c r="BU125" s="27">
        <f aca="true" t="shared" si="216" ref="BU125:CZ125">(POWER(BU51/BO51,2)-1)*100</f>
        <v>7.777684355389547</v>
      </c>
      <c r="BV125" s="27">
        <f t="shared" si="216"/>
        <v>21.09597380289174</v>
      </c>
      <c r="BW125" s="194">
        <f t="shared" si="216"/>
        <v>14.945461667837613</v>
      </c>
      <c r="BX125" s="195">
        <f t="shared" si="216"/>
        <v>9.694062904767975</v>
      </c>
      <c r="BY125" s="27">
        <f t="shared" si="216"/>
        <v>8.282814823836059</v>
      </c>
      <c r="BZ125" s="27">
        <f t="shared" si="216"/>
        <v>14.370799486839392</v>
      </c>
      <c r="CA125" s="27">
        <f t="shared" si="216"/>
        <v>1.807561272432423</v>
      </c>
      <c r="CB125" s="27">
        <f t="shared" si="216"/>
        <v>-15.734056294635367</v>
      </c>
      <c r="CC125" s="27">
        <f t="shared" si="216"/>
        <v>-9.634091542539869</v>
      </c>
      <c r="CD125" s="27">
        <f t="shared" si="216"/>
        <v>-11.345920262109544</v>
      </c>
      <c r="CE125" s="27">
        <f t="shared" si="216"/>
        <v>-3.009038329732261</v>
      </c>
      <c r="CF125" s="27">
        <f t="shared" si="216"/>
        <v>15.739173409619411</v>
      </c>
      <c r="CG125" s="27">
        <f t="shared" si="216"/>
        <v>15.312741230410577</v>
      </c>
      <c r="CH125" s="27">
        <f t="shared" si="216"/>
        <v>32.71952357643932</v>
      </c>
      <c r="CI125" s="194">
        <f t="shared" si="216"/>
        <v>42.50290453323628</v>
      </c>
      <c r="CJ125" s="195">
        <f t="shared" si="216"/>
        <v>44.46209494626401</v>
      </c>
      <c r="CK125" s="27">
        <f t="shared" si="216"/>
        <v>37.133639679502075</v>
      </c>
      <c r="CL125" s="27">
        <f t="shared" si="216"/>
        <v>19.13778319905639</v>
      </c>
      <c r="CM125" s="27">
        <f t="shared" si="216"/>
        <v>32.530832753711806</v>
      </c>
      <c r="CN125" s="27">
        <f t="shared" si="216"/>
        <v>30.33004328884823</v>
      </c>
      <c r="CO125" s="27">
        <f t="shared" si="216"/>
        <v>15.137874340111047</v>
      </c>
      <c r="CP125" s="27">
        <f t="shared" si="216"/>
        <v>8.139124151811505</v>
      </c>
      <c r="CQ125" s="27">
        <f t="shared" si="216"/>
        <v>27.771429824467674</v>
      </c>
      <c r="CR125" s="27">
        <f t="shared" si="216"/>
        <v>27.50729554602549</v>
      </c>
      <c r="CS125" s="27">
        <f t="shared" si="216"/>
        <v>16.528489853515982</v>
      </c>
      <c r="CT125" s="27">
        <f t="shared" si="216"/>
        <v>12.971695798634642</v>
      </c>
      <c r="CU125" s="194">
        <f t="shared" si="216"/>
        <v>25.078845394096017</v>
      </c>
      <c r="CV125" s="27">
        <f t="shared" si="216"/>
        <v>27.594485119296273</v>
      </c>
      <c r="CW125" s="27">
        <f t="shared" si="216"/>
        <v>5.2572269084385725</v>
      </c>
      <c r="CX125" s="27">
        <f t="shared" si="216"/>
        <v>1.1431776355608658</v>
      </c>
      <c r="CY125" s="27">
        <f t="shared" si="216"/>
        <v>8.669618917992207</v>
      </c>
      <c r="CZ125" s="27">
        <f t="shared" si="216"/>
        <v>3.631849431125911</v>
      </c>
      <c r="DA125" s="27">
        <f aca="true" t="shared" si="217" ref="DA125:EF125">(POWER(DA51/CU51,2)-1)*100</f>
        <v>11.011332598429192</v>
      </c>
      <c r="DB125" s="197">
        <f t="shared" si="217"/>
        <v>7.661093778898342</v>
      </c>
      <c r="DC125" s="113">
        <f t="shared" si="217"/>
        <v>13.344517253989817</v>
      </c>
      <c r="DD125" s="103">
        <f t="shared" si="217"/>
        <v>12.502320578589355</v>
      </c>
      <c r="DE125" s="103">
        <f t="shared" si="217"/>
        <v>26.904190411081807</v>
      </c>
      <c r="DF125" s="103">
        <f t="shared" si="217"/>
        <v>19.927458474332283</v>
      </c>
      <c r="DG125" s="131">
        <f t="shared" si="217"/>
        <v>14.520026237980499</v>
      </c>
      <c r="DH125" s="106">
        <f t="shared" si="217"/>
        <v>12.423164445018497</v>
      </c>
      <c r="DI125" s="103">
        <f t="shared" si="217"/>
        <v>26.707629507203556</v>
      </c>
      <c r="DJ125" s="103">
        <f t="shared" si="217"/>
        <v>22.54601930955955</v>
      </c>
      <c r="DK125" s="103">
        <f t="shared" si="217"/>
        <v>5.747795187553617</v>
      </c>
      <c r="DL125" s="103">
        <f t="shared" si="217"/>
        <v>22.280891551368164</v>
      </c>
      <c r="DM125" s="103">
        <f t="shared" si="217"/>
        <v>6.02102973259111</v>
      </c>
      <c r="DN125" s="103">
        <f t="shared" si="217"/>
        <v>11.986089293554848</v>
      </c>
      <c r="DO125" s="103">
        <f t="shared" si="217"/>
        <v>4.302366048123996</v>
      </c>
      <c r="DP125" s="103">
        <f t="shared" si="217"/>
        <v>25.056320413508114</v>
      </c>
      <c r="DQ125" s="103">
        <f t="shared" si="217"/>
        <v>15.41622831722458</v>
      </c>
      <c r="DR125" s="103">
        <f t="shared" si="217"/>
        <v>6.947218479692507</v>
      </c>
      <c r="DS125" s="131">
        <f t="shared" si="217"/>
        <v>20.081803519004925</v>
      </c>
      <c r="DT125" s="106">
        <f t="shared" si="217"/>
        <v>16.913751869123562</v>
      </c>
      <c r="DU125" s="103">
        <f t="shared" si="217"/>
        <v>12.786231779595859</v>
      </c>
      <c r="DV125" s="103">
        <f t="shared" si="217"/>
        <v>0.11574423312123994</v>
      </c>
      <c r="DW125" s="103">
        <f t="shared" si="217"/>
        <v>-3.470624154418578</v>
      </c>
      <c r="DX125" s="103">
        <f t="shared" si="217"/>
        <v>21.847753320236784</v>
      </c>
      <c r="DY125" s="103">
        <f t="shared" si="217"/>
        <v>4.109765361480711</v>
      </c>
      <c r="DZ125" s="103">
        <f t="shared" si="217"/>
        <v>-0.6910927824033131</v>
      </c>
      <c r="EA125" s="103">
        <f t="shared" si="217"/>
        <v>-2.780851776095483</v>
      </c>
      <c r="EB125" s="103">
        <f t="shared" si="217"/>
        <v>-5.553371492405601</v>
      </c>
      <c r="EC125" s="103">
        <f t="shared" si="217"/>
        <v>-3.165528354361713</v>
      </c>
      <c r="ED125" s="103">
        <f t="shared" si="217"/>
        <v>-20.950566232411106</v>
      </c>
      <c r="EE125" s="137">
        <f t="shared" si="217"/>
        <v>-29.796200010105423</v>
      </c>
      <c r="EF125" s="103">
        <f t="shared" si="217"/>
        <v>-25.12083826189623</v>
      </c>
      <c r="EG125" s="103">
        <f aca="true" t="shared" si="218" ref="EG125:FL125">(POWER(EG51/EA51,2)-1)*100</f>
        <v>-22.419880094518806</v>
      </c>
      <c r="EH125" s="103">
        <f t="shared" si="218"/>
        <v>-14.895271223963258</v>
      </c>
      <c r="EI125" s="103">
        <f t="shared" si="218"/>
        <v>-13.209793496519051</v>
      </c>
      <c r="EJ125" s="113">
        <f t="shared" si="218"/>
        <v>-16.54095234861399</v>
      </c>
      <c r="EK125" s="113">
        <f t="shared" si="218"/>
        <v>-10.806099717506278</v>
      </c>
      <c r="EL125" s="113">
        <f t="shared" si="218"/>
        <v>-17.40589279855098</v>
      </c>
      <c r="EM125" s="113">
        <f t="shared" si="218"/>
        <v>-21.164635384428752</v>
      </c>
      <c r="EN125" s="113">
        <f t="shared" si="218"/>
        <v>-25.965942759666692</v>
      </c>
      <c r="EO125" s="113">
        <f t="shared" si="218"/>
        <v>-26.570904639179915</v>
      </c>
      <c r="EP125" s="113">
        <f t="shared" si="218"/>
        <v>-34.6172341320443</v>
      </c>
      <c r="EQ125" s="137">
        <f t="shared" si="218"/>
        <v>-26.07607501372534</v>
      </c>
      <c r="ER125" s="138">
        <f t="shared" si="218"/>
        <v>-26.393828928775875</v>
      </c>
      <c r="ES125" s="113">
        <f t="shared" si="218"/>
        <v>-27.414297821681433</v>
      </c>
      <c r="ET125" s="113">
        <f t="shared" si="218"/>
        <v>-24.67898869562346</v>
      </c>
      <c r="EU125" s="113">
        <f t="shared" si="218"/>
        <v>-25.372954338864584</v>
      </c>
      <c r="EV125" s="113">
        <f t="shared" si="218"/>
        <v>-13.84649946870644</v>
      </c>
      <c r="EW125" s="113">
        <f t="shared" si="218"/>
        <v>-20.457877176044093</v>
      </c>
      <c r="EX125" s="113">
        <f t="shared" si="218"/>
        <v>-12.238501477156817</v>
      </c>
      <c r="EY125" s="113">
        <f t="shared" si="218"/>
        <v>-8.73027158434273</v>
      </c>
      <c r="EZ125" s="113">
        <f t="shared" si="218"/>
        <v>-12.280369967356098</v>
      </c>
      <c r="FA125" s="113">
        <f t="shared" si="218"/>
        <v>-17.170246961118462</v>
      </c>
      <c r="FB125" s="113">
        <f t="shared" si="218"/>
        <v>-18.916171862506648</v>
      </c>
      <c r="FC125" s="137">
        <f t="shared" si="218"/>
        <v>-11.770399311973778</v>
      </c>
      <c r="FD125" s="293">
        <f t="shared" si="218"/>
        <v>-12.237480377210385</v>
      </c>
      <c r="FE125" s="293">
        <f t="shared" si="218"/>
        <v>-9.528092572791191</v>
      </c>
      <c r="FF125" s="293">
        <f t="shared" si="218"/>
        <v>-6.805856179365078</v>
      </c>
      <c r="FG125" s="293">
        <f t="shared" si="218"/>
        <v>-0.3988999642213109</v>
      </c>
      <c r="FH125" s="293">
        <f t="shared" si="218"/>
        <v>3.605530572130067</v>
      </c>
      <c r="FI125" s="293">
        <f t="shared" si="218"/>
        <v>4.352209502400761</v>
      </c>
      <c r="FJ125" s="293">
        <f t="shared" si="218"/>
        <v>2.511754212880457</v>
      </c>
      <c r="FK125" s="293">
        <f t="shared" si="218"/>
        <v>5.292850779808567</v>
      </c>
      <c r="FL125" s="138">
        <f t="shared" si="218"/>
        <v>7.109464294798595</v>
      </c>
      <c r="FM125" s="138">
        <f aca="true" t="shared" si="219" ref="FM125:GA125">(POWER(FM51/FG51,2)-1)*100</f>
        <v>7.064608019075913</v>
      </c>
      <c r="FN125" s="138">
        <f t="shared" si="219"/>
        <v>10.241038990835417</v>
      </c>
      <c r="FO125" s="293">
        <f t="shared" si="219"/>
        <v>13.743421334548579</v>
      </c>
      <c r="FP125" s="293">
        <f t="shared" si="219"/>
        <v>20.90782660011776</v>
      </c>
      <c r="FQ125" s="138">
        <f t="shared" si="219"/>
        <v>14.30511420753886</v>
      </c>
      <c r="FR125" s="293">
        <f t="shared" si="219"/>
        <v>18.125114833860366</v>
      </c>
      <c r="FS125" s="293">
        <f t="shared" si="219"/>
        <v>25.7359574546965</v>
      </c>
      <c r="FT125" s="293">
        <f t="shared" si="219"/>
        <v>24.515207505043524</v>
      </c>
      <c r="FU125" s="293">
        <f t="shared" si="219"/>
        <v>26.16345436585752</v>
      </c>
      <c r="FV125" s="113">
        <f t="shared" si="219"/>
        <v>28.58216977080521</v>
      </c>
      <c r="FW125" s="293">
        <f t="shared" si="219"/>
        <v>36.61907054655433</v>
      </c>
      <c r="FX125" s="293">
        <f t="shared" si="219"/>
        <v>31.149119092955523</v>
      </c>
      <c r="FY125" s="138">
        <f t="shared" si="219"/>
        <v>32.18281802481804</v>
      </c>
      <c r="FZ125" s="138">
        <f t="shared" si="219"/>
        <v>39.06594736376681</v>
      </c>
      <c r="GA125" s="138">
        <f t="shared" si="219"/>
        <v>37.227088766738994</v>
      </c>
      <c r="GB125" s="138">
        <f>(POWER(GB51/FV51,2)-1)*100</f>
        <v>26.764833519726984</v>
      </c>
      <c r="GC125" s="138">
        <f>(POWER(GC51/FW51,2)-1)*100</f>
        <v>24.347904130493948</v>
      </c>
      <c r="GD125" s="293">
        <f>(POWER(GD51/FX51,2)-1)*100</f>
        <v>26.60513710248018</v>
      </c>
    </row>
    <row r="126" spans="1:186" ht="15" customHeight="1">
      <c r="A126" s="3"/>
      <c r="B126" s="198"/>
      <c r="C126" s="17"/>
      <c r="D126" s="38"/>
      <c r="E126" s="25"/>
      <c r="F126" s="25"/>
      <c r="G126" s="25"/>
      <c r="H126" s="25"/>
      <c r="I126" s="25"/>
      <c r="J126" s="25"/>
      <c r="K126" s="25"/>
      <c r="L126" s="25"/>
      <c r="M126" s="25"/>
      <c r="N126" s="25"/>
      <c r="O126" s="39"/>
      <c r="P126" s="38"/>
      <c r="Q126" s="25"/>
      <c r="R126" s="25"/>
      <c r="S126" s="25"/>
      <c r="T126" s="25"/>
      <c r="U126" s="25"/>
      <c r="V126" s="25"/>
      <c r="W126" s="25"/>
      <c r="X126" s="25"/>
      <c r="Y126" s="25"/>
      <c r="Z126" s="25"/>
      <c r="AA126" s="39"/>
      <c r="AB126" s="38"/>
      <c r="AC126" s="25"/>
      <c r="AD126" s="25"/>
      <c r="AE126" s="25"/>
      <c r="AF126" s="25"/>
      <c r="AG126" s="25"/>
      <c r="AH126" s="25"/>
      <c r="AI126" s="25"/>
      <c r="AJ126" s="25"/>
      <c r="AK126" s="25"/>
      <c r="AL126" s="25"/>
      <c r="AM126" s="39"/>
      <c r="AR126" s="3"/>
      <c r="AS126" s="3"/>
      <c r="AT126" s="3"/>
      <c r="AU126" s="3"/>
      <c r="AV126" s="3"/>
      <c r="AW126" s="49"/>
      <c r="AX126" s="3"/>
      <c r="AY126" s="189"/>
      <c r="AZ126" s="3"/>
      <c r="BA126" s="49"/>
      <c r="BB126" s="3"/>
      <c r="BC126" s="49"/>
      <c r="BD126" s="3"/>
      <c r="BE126" s="3"/>
      <c r="BF126" s="3"/>
      <c r="BG126" s="3"/>
      <c r="BH126" s="3"/>
      <c r="BI126" s="3"/>
      <c r="BJ126" s="3"/>
      <c r="BK126" s="189"/>
      <c r="BL126" s="190"/>
      <c r="BM126" s="3"/>
      <c r="BN126" s="3"/>
      <c r="BO126" s="3"/>
      <c r="BP126" s="3"/>
      <c r="BQ126" s="3"/>
      <c r="BR126" s="3"/>
      <c r="BS126" s="3"/>
      <c r="BT126" s="3"/>
      <c r="BU126" s="3"/>
      <c r="BV126" s="3"/>
      <c r="BW126" s="189"/>
      <c r="BX126" s="190"/>
      <c r="BY126" s="3"/>
      <c r="BZ126" s="3"/>
      <c r="CA126" s="49"/>
      <c r="CB126" s="49"/>
      <c r="CC126" s="97"/>
      <c r="CD126" s="122"/>
      <c r="CE126" s="122"/>
      <c r="CF126" s="122"/>
      <c r="CG126" s="122"/>
      <c r="CH126" s="108"/>
      <c r="CI126" s="200"/>
      <c r="CJ126" s="201"/>
      <c r="CK126" s="26"/>
      <c r="CL126" s="26"/>
      <c r="CM126" s="27"/>
      <c r="CN126" s="122"/>
      <c r="CO126" s="122"/>
      <c r="CP126" s="97"/>
      <c r="CQ126" s="97"/>
      <c r="CR126" s="97"/>
      <c r="CS126" s="97"/>
      <c r="CT126" s="97"/>
      <c r="CU126" s="191"/>
      <c r="CV126" s="97"/>
      <c r="CW126" s="97"/>
      <c r="CX126" s="97"/>
      <c r="CY126" s="97"/>
      <c r="CZ126" s="97"/>
      <c r="DA126" s="97"/>
      <c r="DB126" s="97"/>
      <c r="DC126" s="97"/>
      <c r="DD126" s="97"/>
      <c r="DE126" s="108"/>
      <c r="DF126" s="97"/>
      <c r="DG126" s="157"/>
      <c r="DH126" s="119"/>
      <c r="DI126" s="101"/>
      <c r="DJ126" s="100"/>
      <c r="DK126" s="100"/>
      <c r="DL126" s="101"/>
      <c r="DM126" s="101"/>
      <c r="DN126" s="108"/>
      <c r="DO126" s="108"/>
      <c r="DP126" s="108"/>
      <c r="DQ126" s="108"/>
      <c r="DR126" s="108"/>
      <c r="DS126" s="125"/>
      <c r="DT126" s="139"/>
      <c r="DU126" s="108"/>
      <c r="DV126" s="108"/>
      <c r="DW126" s="108"/>
      <c r="DX126" s="108"/>
      <c r="DY126" s="108"/>
      <c r="DZ126" s="108"/>
      <c r="EA126" s="108"/>
      <c r="EB126" s="108"/>
      <c r="EC126" s="108"/>
      <c r="ED126" s="108"/>
      <c r="EE126" s="125"/>
      <c r="EF126" s="108"/>
      <c r="EG126" s="108"/>
      <c r="EH126" s="143"/>
      <c r="EI126" s="108"/>
      <c r="EJ126" s="122"/>
      <c r="EK126" s="113"/>
      <c r="EL126" s="113"/>
      <c r="EM126" s="113"/>
      <c r="EN126" s="113"/>
      <c r="EO126" s="113"/>
      <c r="EP126" s="113"/>
      <c r="EQ126" s="137"/>
      <c r="ER126" s="138"/>
      <c r="ES126" s="113"/>
      <c r="ET126" s="113"/>
      <c r="EU126" s="113"/>
      <c r="EV126" s="113"/>
      <c r="EW126" s="113"/>
      <c r="EX126" s="113"/>
      <c r="EY126" s="113"/>
      <c r="EZ126" s="113"/>
      <c r="FA126" s="122"/>
      <c r="FB126" s="122"/>
      <c r="FC126" s="140"/>
      <c r="FD126" s="63"/>
      <c r="FE126" s="63"/>
      <c r="FF126" s="63"/>
      <c r="FG126" s="63"/>
      <c r="FH126" s="63"/>
      <c r="FI126" s="63"/>
      <c r="FJ126" s="63"/>
      <c r="FK126" s="63"/>
      <c r="FL126" s="119"/>
      <c r="FM126" s="119"/>
      <c r="FN126" s="119"/>
      <c r="FO126" s="63"/>
      <c r="FP126" s="140"/>
      <c r="FQ126" s="119"/>
      <c r="FR126" s="63"/>
      <c r="FS126" s="63"/>
      <c r="FT126" s="63"/>
      <c r="FU126" s="63"/>
      <c r="FV126" s="122"/>
      <c r="FW126" s="63"/>
      <c r="FX126" s="63"/>
      <c r="FY126" s="122"/>
      <c r="FZ126" s="119"/>
      <c r="GA126" s="119"/>
      <c r="GB126" s="119"/>
      <c r="GC126" s="119"/>
      <c r="GD126" s="63"/>
    </row>
    <row r="127" spans="1:186" ht="15" customHeight="1">
      <c r="A127" s="3"/>
      <c r="B127" s="117" t="s">
        <v>61</v>
      </c>
      <c r="C127" s="19"/>
      <c r="D127" s="35">
        <f aca="true" t="shared" si="220" ref="D127:AI127">(D3/C3)*100-100</f>
        <v>6.448817923010267</v>
      </c>
      <c r="E127" s="36">
        <f t="shared" si="220"/>
        <v>-11.45348837209302</v>
      </c>
      <c r="F127" s="36">
        <f t="shared" si="220"/>
        <v>9.214707813525933</v>
      </c>
      <c r="G127" s="36">
        <f t="shared" si="220"/>
        <v>-1.0064087919487434</v>
      </c>
      <c r="H127" s="36">
        <f t="shared" si="220"/>
        <v>1.0202842220332826</v>
      </c>
      <c r="I127" s="36">
        <f t="shared" si="220"/>
        <v>-1.4187808103883697</v>
      </c>
      <c r="J127" s="36">
        <f t="shared" si="220"/>
        <v>0.5854372484449328</v>
      </c>
      <c r="K127" s="36">
        <f t="shared" si="220"/>
        <v>3.6376864314296142</v>
      </c>
      <c r="L127" s="36">
        <f t="shared" si="220"/>
        <v>5.37030537030536</v>
      </c>
      <c r="M127" s="36">
        <f t="shared" si="220"/>
        <v>8.505440817232952</v>
      </c>
      <c r="N127" s="36">
        <f t="shared" si="220"/>
        <v>5.359189521080651</v>
      </c>
      <c r="O127" s="37">
        <f t="shared" si="220"/>
        <v>3.3344017405324564</v>
      </c>
      <c r="P127" s="35">
        <f t="shared" si="220"/>
        <v>13.87348435003291</v>
      </c>
      <c r="Q127" s="36">
        <f t="shared" si="220"/>
        <v>-2.484523318200587</v>
      </c>
      <c r="R127" s="36">
        <f t="shared" si="220"/>
        <v>-5.954799390553575</v>
      </c>
      <c r="S127" s="36">
        <f t="shared" si="220"/>
        <v>2.3446289545925083</v>
      </c>
      <c r="T127" s="36">
        <f t="shared" si="220"/>
        <v>-2.0842494063846573</v>
      </c>
      <c r="U127" s="36">
        <f t="shared" si="220"/>
        <v>1.032872283096836</v>
      </c>
      <c r="V127" s="36">
        <f t="shared" si="220"/>
        <v>-2.613565650280023</v>
      </c>
      <c r="W127" s="36">
        <f t="shared" si="220"/>
        <v>10.51574623459608</v>
      </c>
      <c r="X127" s="36">
        <f t="shared" si="220"/>
        <v>1.4784835219294479</v>
      </c>
      <c r="Y127" s="36">
        <f t="shared" si="220"/>
        <v>6.413804330131853</v>
      </c>
      <c r="Z127" s="36">
        <f t="shared" si="220"/>
        <v>4.5510172862169185</v>
      </c>
      <c r="AA127" s="37">
        <f t="shared" si="220"/>
        <v>2.4361694344867857</v>
      </c>
      <c r="AB127" s="35">
        <f t="shared" si="220"/>
        <v>5.806313383802305</v>
      </c>
      <c r="AC127" s="36">
        <f t="shared" si="220"/>
        <v>13.126560917988542</v>
      </c>
      <c r="AD127" s="36">
        <f t="shared" si="220"/>
        <v>1.6664976103390785</v>
      </c>
      <c r="AE127" s="36">
        <f t="shared" si="220"/>
        <v>-1.190797582017737</v>
      </c>
      <c r="AF127" s="36">
        <f t="shared" si="220"/>
        <v>1.187329607213087</v>
      </c>
      <c r="AG127" s="36">
        <f t="shared" si="220"/>
        <v>0.6926508570086867</v>
      </c>
      <c r="AH127" s="36">
        <f t="shared" si="220"/>
        <v>8.295441296490623</v>
      </c>
      <c r="AI127" s="36">
        <f t="shared" si="220"/>
        <v>15.061635355547182</v>
      </c>
      <c r="AJ127" s="36">
        <f aca="true" t="shared" si="221" ref="AJ127:BO127">(AJ3/AI3)*100-100</f>
        <v>-12.837426900584788</v>
      </c>
      <c r="AK127" s="36">
        <f t="shared" si="221"/>
        <v>7.213783479147651</v>
      </c>
      <c r="AL127" s="36">
        <f t="shared" si="221"/>
        <v>3.7997496871088714</v>
      </c>
      <c r="AM127" s="37">
        <f t="shared" si="221"/>
        <v>11.309925725860921</v>
      </c>
      <c r="AN127" s="26">
        <f t="shared" si="221"/>
        <v>6.841717578751243</v>
      </c>
      <c r="AO127" s="26">
        <f t="shared" si="221"/>
        <v>-6.83348203422824</v>
      </c>
      <c r="AP127" s="26">
        <f t="shared" si="221"/>
        <v>1.3407043050537482</v>
      </c>
      <c r="AQ127" s="26">
        <f t="shared" si="221"/>
        <v>1.907134573257153</v>
      </c>
      <c r="AR127" s="26">
        <f t="shared" si="221"/>
        <v>-0.4636459430980011</v>
      </c>
      <c r="AS127" s="26">
        <f t="shared" si="221"/>
        <v>6.063942409485492</v>
      </c>
      <c r="AT127" s="26">
        <f t="shared" si="221"/>
        <v>-3.2219427476344435</v>
      </c>
      <c r="AU127" s="26">
        <f t="shared" si="221"/>
        <v>5.837458745874585</v>
      </c>
      <c r="AV127" s="26">
        <f t="shared" si="221"/>
        <v>-2.1282401091405205</v>
      </c>
      <c r="AW127" s="27">
        <f t="shared" si="221"/>
        <v>-4.217611215102153</v>
      </c>
      <c r="AX127" s="26">
        <f t="shared" si="221"/>
        <v>-0.38669438669438705</v>
      </c>
      <c r="AY127" s="204">
        <f t="shared" si="221"/>
        <v>0.8348290687481636</v>
      </c>
      <c r="AZ127" s="26">
        <f t="shared" si="221"/>
        <v>3.4068799933766485</v>
      </c>
      <c r="BA127" s="27">
        <f t="shared" si="221"/>
        <v>-0.5564451561248944</v>
      </c>
      <c r="BB127" s="26">
        <f t="shared" si="221"/>
        <v>-1.0627591481824368</v>
      </c>
      <c r="BC127" s="27">
        <f t="shared" si="221"/>
        <v>1.8350490295804889</v>
      </c>
      <c r="BD127" s="26">
        <f t="shared" si="221"/>
        <v>-1.302541153907626</v>
      </c>
      <c r="BE127" s="26">
        <f t="shared" si="221"/>
        <v>-5.023884705691856</v>
      </c>
      <c r="BF127" s="26">
        <f t="shared" si="221"/>
        <v>1.8626657005242748</v>
      </c>
      <c r="BG127" s="26">
        <f t="shared" si="221"/>
        <v>1.7616536948698638</v>
      </c>
      <c r="BH127" s="26">
        <f t="shared" si="221"/>
        <v>3.536329618816552</v>
      </c>
      <c r="BI127" s="26">
        <f t="shared" si="221"/>
        <v>2.7443504507724583</v>
      </c>
      <c r="BJ127" s="26">
        <f t="shared" si="221"/>
        <v>-1.1480479319675396</v>
      </c>
      <c r="BK127" s="204">
        <f t="shared" si="221"/>
        <v>0.8407304579048258</v>
      </c>
      <c r="BL127" s="205">
        <f t="shared" si="221"/>
        <v>-2.582596556537922</v>
      </c>
      <c r="BM127" s="26">
        <f t="shared" si="221"/>
        <v>-0.8996099036700826</v>
      </c>
      <c r="BN127" s="26">
        <f t="shared" si="221"/>
        <v>-4.374196658097688</v>
      </c>
      <c r="BO127" s="26">
        <f t="shared" si="221"/>
        <v>-0.8778930566640071</v>
      </c>
      <c r="BP127" s="26">
        <f aca="true" t="shared" si="222" ref="BP127:BW127">(BP3/BO3)*100-100</f>
        <v>-1.1653529960166082</v>
      </c>
      <c r="BQ127" s="26">
        <f t="shared" si="222"/>
        <v>1.3377352827680795</v>
      </c>
      <c r="BR127" s="26">
        <f t="shared" si="222"/>
        <v>-0.36386714618150506</v>
      </c>
      <c r="BS127" s="27">
        <f t="shared" si="222"/>
        <v>2.9300607244469035</v>
      </c>
      <c r="BT127" s="27">
        <f t="shared" si="222"/>
        <v>1.0602747638103835</v>
      </c>
      <c r="BU127" s="27">
        <f t="shared" si="222"/>
        <v>-1.122632266492488</v>
      </c>
      <c r="BV127" s="27">
        <f t="shared" si="222"/>
        <v>0.4376367614879655</v>
      </c>
      <c r="BW127" s="194">
        <f t="shared" si="222"/>
        <v>1.3277428371767996</v>
      </c>
      <c r="BX127" s="195"/>
      <c r="BY127" s="27"/>
      <c r="BZ127" s="27"/>
      <c r="CA127" s="27"/>
      <c r="CB127" s="27"/>
      <c r="CC127" s="97"/>
      <c r="CD127" s="122"/>
      <c r="CE127" s="122"/>
      <c r="CF127" s="122"/>
      <c r="CG127" s="122"/>
      <c r="CH127" s="108"/>
      <c r="CI127" s="200"/>
      <c r="CJ127" s="201"/>
      <c r="CK127" s="26"/>
      <c r="CL127" s="26"/>
      <c r="CM127" s="27"/>
      <c r="CN127" s="122"/>
      <c r="CO127" s="122"/>
      <c r="CP127" s="97"/>
      <c r="CQ127" s="97"/>
      <c r="CR127" s="97"/>
      <c r="CS127" s="97"/>
      <c r="CT127" s="97"/>
      <c r="CU127" s="191"/>
      <c r="CV127" s="97"/>
      <c r="CW127" s="97"/>
      <c r="CX127" s="97"/>
      <c r="CY127" s="97"/>
      <c r="CZ127" s="97"/>
      <c r="DA127" s="97"/>
      <c r="DB127" s="97"/>
      <c r="DC127" s="97"/>
      <c r="DD127" s="97"/>
      <c r="DE127" s="108"/>
      <c r="DF127" s="97"/>
      <c r="DG127" s="157"/>
      <c r="DH127" s="119"/>
      <c r="DI127" s="101"/>
      <c r="DJ127" s="100"/>
      <c r="DK127" s="100"/>
      <c r="DL127" s="101"/>
      <c r="DM127" s="101"/>
      <c r="DN127" s="108"/>
      <c r="DO127" s="108"/>
      <c r="DP127" s="108"/>
      <c r="DQ127" s="108"/>
      <c r="DR127" s="108"/>
      <c r="DS127" s="125"/>
      <c r="DT127" s="139"/>
      <c r="DU127" s="108"/>
      <c r="DV127" s="108"/>
      <c r="DW127" s="108"/>
      <c r="DX127" s="108"/>
      <c r="DY127" s="108"/>
      <c r="DZ127" s="108"/>
      <c r="EA127" s="108"/>
      <c r="EB127" s="108"/>
      <c r="EC127" s="108"/>
      <c r="ED127" s="108"/>
      <c r="EE127" s="125"/>
      <c r="EF127" s="108"/>
      <c r="EG127" s="108"/>
      <c r="EH127" s="143"/>
      <c r="EI127" s="108"/>
      <c r="EJ127" s="122"/>
      <c r="EK127" s="113"/>
      <c r="EL127" s="113"/>
      <c r="EM127" s="113"/>
      <c r="EN127" s="113"/>
      <c r="EO127" s="113"/>
      <c r="EP127" s="113"/>
      <c r="EQ127" s="137"/>
      <c r="ER127" s="138"/>
      <c r="ES127" s="113"/>
      <c r="ET127" s="113"/>
      <c r="EU127" s="113"/>
      <c r="EV127" s="113"/>
      <c r="EW127" s="113"/>
      <c r="EX127" s="113"/>
      <c r="EY127" s="113"/>
      <c r="EZ127" s="113"/>
      <c r="FA127" s="122"/>
      <c r="FB127" s="122"/>
      <c r="FC127" s="140"/>
      <c r="FD127" s="63"/>
      <c r="FE127" s="63"/>
      <c r="FF127" s="63"/>
      <c r="FG127" s="63"/>
      <c r="FH127" s="63"/>
      <c r="FI127" s="63"/>
      <c r="FJ127" s="63"/>
      <c r="FK127" s="63"/>
      <c r="FL127" s="119"/>
      <c r="FM127" s="119"/>
      <c r="FN127" s="119"/>
      <c r="FO127" s="63"/>
      <c r="FP127" s="140"/>
      <c r="FQ127" s="119"/>
      <c r="FR127" s="63"/>
      <c r="FS127" s="63"/>
      <c r="FT127" s="63"/>
      <c r="FU127" s="63"/>
      <c r="FV127" s="122"/>
      <c r="FW127" s="63"/>
      <c r="FX127" s="63"/>
      <c r="FY127" s="122"/>
      <c r="FZ127" s="119"/>
      <c r="GA127" s="119"/>
      <c r="GB127" s="119"/>
      <c r="GC127" s="119"/>
      <c r="GD127" s="63"/>
    </row>
    <row r="128" spans="1:186" ht="15" customHeight="1">
      <c r="A128" s="3"/>
      <c r="B128" s="117" t="s">
        <v>13</v>
      </c>
      <c r="C128" s="19"/>
      <c r="D128" s="35"/>
      <c r="E128" s="36"/>
      <c r="F128" s="36"/>
      <c r="G128" s="36"/>
      <c r="H128" s="36"/>
      <c r="I128" s="36">
        <f aca="true" t="shared" si="223" ref="I128:AN128">(POWER(I3/C3,2)-1)*100</f>
        <v>2.9927268079184666</v>
      </c>
      <c r="J128" s="36">
        <f t="shared" si="223"/>
        <v>-8.0408207138994</v>
      </c>
      <c r="K128" s="36">
        <f t="shared" si="223"/>
        <v>25.97593563175973</v>
      </c>
      <c r="L128" s="36">
        <f t="shared" si="223"/>
        <v>17.263219433435808</v>
      </c>
      <c r="M128" s="36">
        <f t="shared" si="223"/>
        <v>40.88043559579404</v>
      </c>
      <c r="N128" s="36">
        <f t="shared" si="223"/>
        <v>53.242192123518976</v>
      </c>
      <c r="O128" s="37">
        <f t="shared" si="223"/>
        <v>68.37586698159774</v>
      </c>
      <c r="P128" s="35">
        <f t="shared" si="223"/>
        <v>115.80169317313982</v>
      </c>
      <c r="Q128" s="36">
        <f t="shared" si="223"/>
        <v>91.05857098135088</v>
      </c>
      <c r="R128" s="36">
        <f t="shared" si="223"/>
        <v>52.19602931822935</v>
      </c>
      <c r="S128" s="36">
        <f t="shared" si="223"/>
        <v>35.40365964121135</v>
      </c>
      <c r="T128" s="36">
        <f t="shared" si="223"/>
        <v>16.94742804051166</v>
      </c>
      <c r="U128" s="36">
        <f t="shared" si="223"/>
        <v>11.795987326289614</v>
      </c>
      <c r="V128" s="36">
        <f t="shared" si="223"/>
        <v>-18.233025812439575</v>
      </c>
      <c r="W128" s="36">
        <f t="shared" si="223"/>
        <v>5.021726066140775</v>
      </c>
      <c r="X128" s="36">
        <f t="shared" si="223"/>
        <v>22.27954514006978</v>
      </c>
      <c r="Y128" s="36">
        <f t="shared" si="223"/>
        <v>32.19640416480352</v>
      </c>
      <c r="Z128" s="36">
        <f t="shared" si="223"/>
        <v>50.72005817468144</v>
      </c>
      <c r="AA128" s="37">
        <f t="shared" si="223"/>
        <v>54.93599055685166</v>
      </c>
      <c r="AB128" s="35">
        <f t="shared" si="223"/>
        <v>82.88519421282992</v>
      </c>
      <c r="AC128" s="36">
        <f t="shared" si="223"/>
        <v>91.6281893582504</v>
      </c>
      <c r="AD128" s="36">
        <f t="shared" si="223"/>
        <v>92.33892476210465</v>
      </c>
      <c r="AE128" s="36">
        <f t="shared" si="223"/>
        <v>65.83111926815945</v>
      </c>
      <c r="AF128" s="36">
        <f t="shared" si="223"/>
        <v>55.33230103980986</v>
      </c>
      <c r="AG128" s="36">
        <f t="shared" si="223"/>
        <v>50.089622350968654</v>
      </c>
      <c r="AH128" s="36">
        <f t="shared" si="223"/>
        <v>57.23450238849739</v>
      </c>
      <c r="AI128" s="36">
        <f t="shared" si="223"/>
        <v>62.65962468367994</v>
      </c>
      <c r="AJ128" s="36">
        <f t="shared" si="223"/>
        <v>19.559509826834475</v>
      </c>
      <c r="AK128" s="36">
        <f t="shared" si="223"/>
        <v>40.76367047067355</v>
      </c>
      <c r="AL128" s="36">
        <f t="shared" si="223"/>
        <v>48.12587390728342</v>
      </c>
      <c r="AM128" s="37">
        <f t="shared" si="223"/>
        <v>81.01024776357765</v>
      </c>
      <c r="AN128" s="26">
        <f t="shared" si="223"/>
        <v>76.1832164384995</v>
      </c>
      <c r="AO128" s="26">
        <f aca="true" t="shared" si="224" ref="AO128:BT128">(POWER(AO3/AI3,2)-1)*100</f>
        <v>15.51095604117505</v>
      </c>
      <c r="AP128" s="26">
        <f t="shared" si="224"/>
        <v>56.146023958959134</v>
      </c>
      <c r="AQ128" s="26">
        <f t="shared" si="224"/>
        <v>41.07136423658484</v>
      </c>
      <c r="AR128" s="26">
        <f t="shared" si="224"/>
        <v>29.720827803465433</v>
      </c>
      <c r="AS128" s="26">
        <f t="shared" si="224"/>
        <v>17.781602047600444</v>
      </c>
      <c r="AT128" s="26">
        <f t="shared" si="224"/>
        <v>-3.3616437057173876</v>
      </c>
      <c r="AU128" s="26">
        <f t="shared" si="224"/>
        <v>24.712105898678537</v>
      </c>
      <c r="AV128" s="26">
        <f t="shared" si="224"/>
        <v>16.320315562572873</v>
      </c>
      <c r="AW128" s="27">
        <f t="shared" si="224"/>
        <v>2.7584912741602574</v>
      </c>
      <c r="AX128" s="26">
        <f t="shared" si="224"/>
        <v>2.917437872670625</v>
      </c>
      <c r="AY128" s="204">
        <f t="shared" si="224"/>
        <v>-6.980378704620138</v>
      </c>
      <c r="AZ128" s="26">
        <f t="shared" si="224"/>
        <v>6.198806761864306</v>
      </c>
      <c r="BA128" s="27">
        <f t="shared" si="224"/>
        <v>-6.245070480634052</v>
      </c>
      <c r="BB128" s="26">
        <f t="shared" si="224"/>
        <v>-4.192632861176893</v>
      </c>
      <c r="BC128" s="27">
        <f t="shared" si="224"/>
        <v>8.298422638214763</v>
      </c>
      <c r="BD128" s="26">
        <f t="shared" si="224"/>
        <v>6.316181283942446</v>
      </c>
      <c r="BE128" s="26">
        <f t="shared" si="224"/>
        <v>-5.67929452693442</v>
      </c>
      <c r="BF128" s="26">
        <f t="shared" si="224"/>
        <v>-8.475314438900995</v>
      </c>
      <c r="BG128" s="26">
        <f t="shared" si="224"/>
        <v>-4.15857202356481</v>
      </c>
      <c r="BH128" s="26">
        <f t="shared" si="224"/>
        <v>4.958886993970468</v>
      </c>
      <c r="BI128" s="26">
        <f t="shared" si="224"/>
        <v>6.841644693726923</v>
      </c>
      <c r="BJ128" s="26">
        <f t="shared" si="224"/>
        <v>7.17638945731951</v>
      </c>
      <c r="BK128" s="204">
        <f t="shared" si="224"/>
        <v>20.820960528688314</v>
      </c>
      <c r="BL128" s="205">
        <f t="shared" si="224"/>
        <v>10.505860048313531</v>
      </c>
      <c r="BM128" s="26">
        <f t="shared" si="224"/>
        <v>4.801554659801011</v>
      </c>
      <c r="BN128" s="26">
        <f t="shared" si="224"/>
        <v>-10.601056126761799</v>
      </c>
      <c r="BO128" s="26">
        <f t="shared" si="224"/>
        <v>-16.793445984643572</v>
      </c>
      <c r="BP128" s="26">
        <f t="shared" si="224"/>
        <v>-16.822575782935466</v>
      </c>
      <c r="BQ128" s="26">
        <f t="shared" si="224"/>
        <v>-16.000656815404003</v>
      </c>
      <c r="BR128" s="26">
        <f t="shared" si="224"/>
        <v>-12.130831476318015</v>
      </c>
      <c r="BS128" s="27">
        <f t="shared" si="224"/>
        <v>-5.208314241486233</v>
      </c>
      <c r="BT128" s="27">
        <f t="shared" si="224"/>
        <v>5.871972090905797</v>
      </c>
      <c r="BU128" s="27">
        <f>(POWER(BU3/BO3,2)-1)*100</f>
        <v>5.349807347770774</v>
      </c>
      <c r="BV128" s="27">
        <f>(POWER(BV3/BP3,2)-1)*100</f>
        <v>8.794836967469477</v>
      </c>
      <c r="BW128" s="194">
        <f>(POWER(BW3/BQ3,2)-1)*100</f>
        <v>8.77338251345552</v>
      </c>
      <c r="BX128" s="195"/>
      <c r="BY128" s="27"/>
      <c r="BZ128" s="27"/>
      <c r="CA128" s="27"/>
      <c r="CB128" s="27"/>
      <c r="CC128" s="97"/>
      <c r="CD128" s="122"/>
      <c r="CE128" s="122"/>
      <c r="CF128" s="122"/>
      <c r="CG128" s="122"/>
      <c r="CH128" s="108"/>
      <c r="CI128" s="200"/>
      <c r="CJ128" s="206"/>
      <c r="CK128" s="26"/>
      <c r="CL128" s="26"/>
      <c r="CM128" s="27"/>
      <c r="CN128" s="122"/>
      <c r="CO128" s="122"/>
      <c r="CP128" s="97"/>
      <c r="CQ128" s="97"/>
      <c r="CR128" s="97"/>
      <c r="CS128" s="97"/>
      <c r="CT128" s="97"/>
      <c r="CU128" s="191"/>
      <c r="CV128" s="97"/>
      <c r="CW128" s="97"/>
      <c r="CX128" s="97"/>
      <c r="CY128" s="97"/>
      <c r="CZ128" s="97"/>
      <c r="DA128" s="97"/>
      <c r="DB128" s="97"/>
      <c r="DC128" s="97"/>
      <c r="DD128" s="97"/>
      <c r="DE128" s="108"/>
      <c r="DF128" s="97"/>
      <c r="DG128" s="157"/>
      <c r="DH128" s="119"/>
      <c r="DI128" s="101"/>
      <c r="DJ128" s="100"/>
      <c r="DK128" s="100"/>
      <c r="DL128" s="101"/>
      <c r="DM128" s="101"/>
      <c r="DN128" s="108"/>
      <c r="DO128" s="108"/>
      <c r="DP128" s="108"/>
      <c r="DQ128" s="108"/>
      <c r="DR128" s="108"/>
      <c r="DS128" s="125"/>
      <c r="DT128" s="139"/>
      <c r="DU128" s="108"/>
      <c r="DV128" s="108"/>
      <c r="DW128" s="108"/>
      <c r="DX128" s="108"/>
      <c r="DY128" s="108"/>
      <c r="DZ128" s="108"/>
      <c r="EA128" s="108"/>
      <c r="EB128" s="108"/>
      <c r="EC128" s="108"/>
      <c r="ED128" s="108"/>
      <c r="EE128" s="125"/>
      <c r="EF128" s="108"/>
      <c r="EG128" s="108"/>
      <c r="EH128" s="143"/>
      <c r="EI128" s="108"/>
      <c r="EJ128" s="122"/>
      <c r="EK128" s="122"/>
      <c r="EL128" s="122"/>
      <c r="EM128" s="113"/>
      <c r="EN128" s="113"/>
      <c r="EO128" s="113"/>
      <c r="EP128" s="113"/>
      <c r="EQ128" s="137"/>
      <c r="ER128" s="138"/>
      <c r="ES128" s="113"/>
      <c r="ET128" s="113"/>
      <c r="EU128" s="113"/>
      <c r="EV128" s="113"/>
      <c r="EW128" s="113"/>
      <c r="EX128" s="113"/>
      <c r="EY128" s="113"/>
      <c r="EZ128" s="113"/>
      <c r="FA128" s="113"/>
      <c r="FB128" s="113"/>
      <c r="FC128" s="137"/>
      <c r="FD128" s="293"/>
      <c r="FE128" s="293"/>
      <c r="FF128" s="293"/>
      <c r="FG128" s="293"/>
      <c r="FH128" s="293"/>
      <c r="FI128" s="293"/>
      <c r="FJ128" s="293"/>
      <c r="FK128" s="137"/>
      <c r="FL128" s="138"/>
      <c r="FM128" s="138"/>
      <c r="FN128" s="138"/>
      <c r="FO128" s="293"/>
      <c r="FP128" s="137"/>
      <c r="FQ128" s="138"/>
      <c r="FR128" s="293"/>
      <c r="FS128" s="293"/>
      <c r="FT128" s="293"/>
      <c r="FU128" s="293"/>
      <c r="FV128" s="113"/>
      <c r="FW128" s="293"/>
      <c r="FX128" s="293"/>
      <c r="FY128" s="113"/>
      <c r="FZ128" s="138"/>
      <c r="GA128" s="138"/>
      <c r="GB128" s="138"/>
      <c r="GC128" s="138"/>
      <c r="GD128" s="293"/>
    </row>
    <row r="129" spans="1:186" ht="15" customHeight="1">
      <c r="A129" s="3"/>
      <c r="B129" s="117" t="s">
        <v>14</v>
      </c>
      <c r="C129" s="19" t="e">
        <f>((C3/#REF!)-1)*100</f>
        <v>#REF!</v>
      </c>
      <c r="D129" s="35"/>
      <c r="E129" s="36"/>
      <c r="F129" s="36"/>
      <c r="G129" s="36"/>
      <c r="H129" s="36"/>
      <c r="I129" s="36">
        <f>(POWER(I3/C3,2)-1)*100</f>
        <v>2.9927268079184666</v>
      </c>
      <c r="J129" s="36">
        <f>(POWER(J3/D3,2)-1)*100</f>
        <v>-8.0408207138994</v>
      </c>
      <c r="K129" s="36">
        <f>(POWER(K3/E3,2)-1)*100</f>
        <v>25.97593563175973</v>
      </c>
      <c r="L129" s="36">
        <f>(POWER(L3/F3,2)-1)*100</f>
        <v>17.263219433435808</v>
      </c>
      <c r="M129" s="36">
        <f>(POWER(M3/G3,2)-1)*100</f>
        <v>40.88043559579404</v>
      </c>
      <c r="N129" s="36">
        <f>(POWER(N3/I3,2)-1)*100</f>
        <v>57.68485608201801</v>
      </c>
      <c r="O129" s="37">
        <f aca="true" t="shared" si="225" ref="O129:AT129">(POWER(O3/C3,1)-1)*100</f>
        <v>31.687089986384454</v>
      </c>
      <c r="P129" s="35">
        <f t="shared" si="225"/>
        <v>40.87209302325581</v>
      </c>
      <c r="Q129" s="36">
        <f t="shared" si="225"/>
        <v>55.14116874589625</v>
      </c>
      <c r="R129" s="36">
        <f t="shared" si="225"/>
        <v>33.59265093125878</v>
      </c>
      <c r="S129" s="36">
        <f t="shared" si="225"/>
        <v>38.114903437386126</v>
      </c>
      <c r="T129" s="36">
        <f t="shared" si="225"/>
        <v>33.87038595647469</v>
      </c>
      <c r="U129" s="36">
        <f t="shared" si="225"/>
        <v>37.199658494938404</v>
      </c>
      <c r="V129" s="36">
        <f t="shared" si="225"/>
        <v>32.83618285437129</v>
      </c>
      <c r="W129" s="36">
        <f t="shared" si="225"/>
        <v>41.65204165204166</v>
      </c>
      <c r="X129" s="36">
        <f t="shared" si="225"/>
        <v>36.42016433488786</v>
      </c>
      <c r="Y129" s="36">
        <f t="shared" si="225"/>
        <v>33.79042161277119</v>
      </c>
      <c r="Z129" s="36">
        <f t="shared" si="225"/>
        <v>32.76416367998289</v>
      </c>
      <c r="AA129" s="37">
        <f t="shared" si="225"/>
        <v>31.61011373249365</v>
      </c>
      <c r="AB129" s="35">
        <f t="shared" si="225"/>
        <v>22.286421791167975</v>
      </c>
      <c r="AC129" s="36">
        <f t="shared" si="225"/>
        <v>41.86304384628408</v>
      </c>
      <c r="AD129" s="36">
        <f t="shared" si="225"/>
        <v>53.359434768912294</v>
      </c>
      <c r="AE129" s="36">
        <f t="shared" si="225"/>
        <v>48.061735995075175</v>
      </c>
      <c r="AF129" s="36">
        <f t="shared" si="225"/>
        <v>53.0088018681516</v>
      </c>
      <c r="AG129" s="36">
        <f t="shared" si="225"/>
        <v>52.493554982665124</v>
      </c>
      <c r="AH129" s="36">
        <f t="shared" si="225"/>
        <v>69.57553628480146</v>
      </c>
      <c r="AI129" s="36">
        <f t="shared" si="225"/>
        <v>76.55075576112993</v>
      </c>
      <c r="AJ129" s="36">
        <f t="shared" si="225"/>
        <v>51.64414781051603</v>
      </c>
      <c r="AK129" s="36">
        <f t="shared" si="225"/>
        <v>52.78415175156799</v>
      </c>
      <c r="AL129" s="36">
        <f t="shared" si="225"/>
        <v>51.686297461409026</v>
      </c>
      <c r="AM129" s="37">
        <f t="shared" si="225"/>
        <v>64.82645336380517</v>
      </c>
      <c r="AN129" s="26">
        <f t="shared" si="225"/>
        <v>66.43941950725616</v>
      </c>
      <c r="AO129" s="26">
        <f t="shared" si="225"/>
        <v>37.07285929939079</v>
      </c>
      <c r="AP129" s="26">
        <f t="shared" si="225"/>
        <v>36.63360525852457</v>
      </c>
      <c r="AQ129" s="26">
        <f t="shared" si="225"/>
        <v>40.917433372336845</v>
      </c>
      <c r="AR129" s="26">
        <f t="shared" si="225"/>
        <v>38.61822023949284</v>
      </c>
      <c r="AS129" s="26">
        <f t="shared" si="225"/>
        <v>46.01259181532005</v>
      </c>
      <c r="AT129" s="26">
        <f t="shared" si="225"/>
        <v>30.48393174355386</v>
      </c>
      <c r="AU129" s="26">
        <f aca="true" t="shared" si="226" ref="AU129:BW129">(POWER(AU3/AI3,1)-1)*100</f>
        <v>20.023391812865498</v>
      </c>
      <c r="AV129" s="26">
        <f t="shared" si="226"/>
        <v>34.77000697761794</v>
      </c>
      <c r="AW129" s="27">
        <f t="shared" si="226"/>
        <v>20.400500625782225</v>
      </c>
      <c r="AX129" s="26">
        <f t="shared" si="226"/>
        <v>15.544516253496665</v>
      </c>
      <c r="AY129" s="204">
        <f t="shared" si="226"/>
        <v>4.670912951167727</v>
      </c>
      <c r="AZ129" s="26">
        <f t="shared" si="226"/>
        <v>1.30586422256469</v>
      </c>
      <c r="BA129" s="27">
        <f t="shared" si="226"/>
        <v>8.131284551429928</v>
      </c>
      <c r="BB129" s="26">
        <f t="shared" si="226"/>
        <v>5.5667711868046865</v>
      </c>
      <c r="BC129" s="27">
        <f t="shared" si="226"/>
        <v>5.492096944151736</v>
      </c>
      <c r="BD129" s="26">
        <f t="shared" si="226"/>
        <v>4.603006563624823</v>
      </c>
      <c r="BE129" s="26">
        <f t="shared" si="226"/>
        <v>-6.332095660158899</v>
      </c>
      <c r="BF129" s="26">
        <f t="shared" si="226"/>
        <v>-1.4108910891089121</v>
      </c>
      <c r="BG129" s="26">
        <f t="shared" si="226"/>
        <v>-5.207561878776068</v>
      </c>
      <c r="BH129" s="26">
        <f t="shared" si="226"/>
        <v>0.27878449958183005</v>
      </c>
      <c r="BI129" s="26">
        <f t="shared" si="226"/>
        <v>7.567567567567557</v>
      </c>
      <c r="BJ129" s="26">
        <f t="shared" si="226"/>
        <v>6.745418875485254</v>
      </c>
      <c r="BK129" s="204">
        <f t="shared" si="226"/>
        <v>6.751666183714855</v>
      </c>
      <c r="BL129" s="205">
        <f t="shared" si="226"/>
        <v>0.5684547638110438</v>
      </c>
      <c r="BM129" s="26">
        <f t="shared" si="226"/>
        <v>0.22140815587134988</v>
      </c>
      <c r="BN129" s="26">
        <f t="shared" si="226"/>
        <v>-3.1330105383081785</v>
      </c>
      <c r="BO129" s="26">
        <f t="shared" si="226"/>
        <v>-5.713600767140803</v>
      </c>
      <c r="BP129" s="26">
        <f t="shared" si="226"/>
        <v>-5.582543923568939</v>
      </c>
      <c r="BQ129" s="26">
        <f t="shared" si="226"/>
        <v>0.7416563658838138</v>
      </c>
      <c r="BR129" s="26">
        <f t="shared" si="226"/>
        <v>-1.4603732529918867</v>
      </c>
      <c r="BS129" s="27">
        <f t="shared" si="226"/>
        <v>-0.32896089477363333</v>
      </c>
      <c r="BT129" s="27">
        <f t="shared" si="226"/>
        <v>-2.7125779419357454</v>
      </c>
      <c r="BU129" s="27">
        <f t="shared" si="226"/>
        <v>-6.374178585233858</v>
      </c>
      <c r="BV129" s="27">
        <f t="shared" si="226"/>
        <v>-4.87232628162515</v>
      </c>
      <c r="BW129" s="194">
        <f t="shared" si="226"/>
        <v>-4.412905227237474</v>
      </c>
      <c r="BX129" s="195"/>
      <c r="BY129" s="27"/>
      <c r="BZ129" s="27"/>
      <c r="CA129" s="27"/>
      <c r="CB129" s="27"/>
      <c r="CC129" s="27"/>
      <c r="CD129" s="27"/>
      <c r="CE129" s="27"/>
      <c r="CF129" s="27"/>
      <c r="CG129" s="27"/>
      <c r="CH129" s="27"/>
      <c r="CI129" s="194"/>
      <c r="CJ129" s="195"/>
      <c r="CK129" s="26"/>
      <c r="CL129" s="26"/>
      <c r="CM129" s="27"/>
      <c r="CN129" s="122"/>
      <c r="CO129" s="122"/>
      <c r="CP129" s="97"/>
      <c r="CQ129" s="97"/>
      <c r="CR129" s="97"/>
      <c r="CS129" s="97"/>
      <c r="CT129" s="97"/>
      <c r="CU129" s="191"/>
      <c r="CV129" s="97"/>
      <c r="CW129" s="97"/>
      <c r="CX129" s="97"/>
      <c r="CY129" s="97"/>
      <c r="CZ129" s="97"/>
      <c r="DA129" s="97"/>
      <c r="DB129" s="97"/>
      <c r="DC129" s="97"/>
      <c r="DD129" s="97"/>
      <c r="DE129" s="108"/>
      <c r="DF129" s="97"/>
      <c r="DG129" s="157"/>
      <c r="DH129" s="118"/>
      <c r="DI129" s="101"/>
      <c r="DJ129" s="100"/>
      <c r="DK129" s="100"/>
      <c r="DL129" s="101"/>
      <c r="DM129" s="101"/>
      <c r="DN129" s="108"/>
      <c r="DO129" s="108"/>
      <c r="DP129" s="108"/>
      <c r="DQ129" s="108"/>
      <c r="DR129" s="108"/>
      <c r="DS129" s="125"/>
      <c r="DT129" s="139"/>
      <c r="DU129" s="108"/>
      <c r="DV129" s="108"/>
      <c r="DW129" s="108"/>
      <c r="DX129" s="108"/>
      <c r="DY129" s="108"/>
      <c r="DZ129" s="108"/>
      <c r="EA129" s="108"/>
      <c r="EB129" s="108"/>
      <c r="EC129" s="108"/>
      <c r="ED129" s="108"/>
      <c r="EE129" s="125"/>
      <c r="EF129" s="108"/>
      <c r="EG129" s="108"/>
      <c r="EH129" s="143"/>
      <c r="EI129" s="108"/>
      <c r="EJ129" s="108"/>
      <c r="EK129" s="108"/>
      <c r="EL129" s="108"/>
      <c r="EM129" s="113"/>
      <c r="EN129" s="113"/>
      <c r="EO129" s="113"/>
      <c r="EP129" s="113"/>
      <c r="EQ129" s="137"/>
      <c r="ER129" s="138"/>
      <c r="ES129" s="113"/>
      <c r="ET129" s="113"/>
      <c r="EU129" s="113"/>
      <c r="EV129" s="113"/>
      <c r="EW129" s="113"/>
      <c r="EX129" s="113"/>
      <c r="EY129" s="113"/>
      <c r="EZ129" s="113"/>
      <c r="FA129" s="113"/>
      <c r="FB129" s="113"/>
      <c r="FC129" s="137"/>
      <c r="FD129" s="293"/>
      <c r="FE129" s="293"/>
      <c r="FF129" s="293"/>
      <c r="FG129" s="293"/>
      <c r="FH129" s="293"/>
      <c r="FI129" s="293"/>
      <c r="FJ129" s="293"/>
      <c r="FK129" s="137"/>
      <c r="FL129" s="138"/>
      <c r="FM129" s="138"/>
      <c r="FN129" s="138"/>
      <c r="FO129" s="293"/>
      <c r="FP129" s="137"/>
      <c r="FQ129" s="138"/>
      <c r="FR129" s="293"/>
      <c r="FS129" s="293"/>
      <c r="FT129" s="293"/>
      <c r="FU129" s="293"/>
      <c r="FV129" s="113"/>
      <c r="FW129" s="293"/>
      <c r="FX129" s="293"/>
      <c r="FY129" s="113"/>
      <c r="FZ129" s="138"/>
      <c r="GA129" s="138"/>
      <c r="GB129" s="138"/>
      <c r="GC129" s="138"/>
      <c r="GD129" s="293"/>
    </row>
    <row r="130" spans="1:186" ht="15" customHeight="1">
      <c r="A130" s="3"/>
      <c r="B130" s="117" t="s">
        <v>89</v>
      </c>
      <c r="C130" s="19">
        <v>28.62372197576768</v>
      </c>
      <c r="D130" s="35">
        <v>37.2773665781208</v>
      </c>
      <c r="E130" s="36">
        <v>23.444544636467413</v>
      </c>
      <c r="F130" s="36"/>
      <c r="G130" s="36"/>
      <c r="H130" s="36"/>
      <c r="I130" s="36"/>
      <c r="J130" s="36">
        <v>107.041094099789</v>
      </c>
      <c r="K130" s="36">
        <v>50.276221029451484</v>
      </c>
      <c r="L130" s="36">
        <v>36.0398885369917</v>
      </c>
      <c r="M130" s="36">
        <v>33.57318055410155</v>
      </c>
      <c r="N130" s="36">
        <v>33.4361850017411</v>
      </c>
      <c r="O130" s="37">
        <f aca="true" t="shared" si="227" ref="O130:AT130">((O4/C4)-1)*100</f>
        <v>36.286483806191704</v>
      </c>
      <c r="P130" s="35">
        <f t="shared" si="227"/>
        <v>22.4201790038143</v>
      </c>
      <c r="Q130" s="36">
        <f t="shared" si="227"/>
        <v>41.63093791380938</v>
      </c>
      <c r="R130" s="36">
        <f t="shared" si="227"/>
        <v>29.048846175406418</v>
      </c>
      <c r="S130" s="36">
        <f t="shared" si="227"/>
        <v>33.839204165529125</v>
      </c>
      <c r="T130" s="36">
        <f t="shared" si="227"/>
        <v>30.858952631407234</v>
      </c>
      <c r="U130" s="36">
        <f t="shared" si="227"/>
        <v>34.38046278087876</v>
      </c>
      <c r="V130" s="36">
        <f t="shared" si="227"/>
        <v>28.430167709668574</v>
      </c>
      <c r="W130" s="36">
        <f t="shared" si="227"/>
        <v>31.626233001640315</v>
      </c>
      <c r="X130" s="36">
        <f t="shared" si="227"/>
        <v>31.066264774290975</v>
      </c>
      <c r="Y130" s="36">
        <f t="shared" si="227"/>
        <v>29.512550828932692</v>
      </c>
      <c r="Z130" s="36">
        <f t="shared" si="227"/>
        <v>30.157956569833665</v>
      </c>
      <c r="AA130" s="37">
        <f t="shared" si="227"/>
        <v>28.64718983114807</v>
      </c>
      <c r="AB130" s="35">
        <f t="shared" si="227"/>
        <v>28.539707431311424</v>
      </c>
      <c r="AC130" s="36">
        <f t="shared" si="227"/>
        <v>30.70272729372605</v>
      </c>
      <c r="AD130" s="36">
        <f t="shared" si="227"/>
        <v>30.28896657338427</v>
      </c>
      <c r="AE130" s="36">
        <f t="shared" si="227"/>
        <v>29.175183265100713</v>
      </c>
      <c r="AF130" s="36">
        <f t="shared" si="227"/>
        <v>31.322105761535713</v>
      </c>
      <c r="AG130" s="36">
        <f t="shared" si="227"/>
        <v>31.2016895616712</v>
      </c>
      <c r="AH130" s="36">
        <f t="shared" si="227"/>
        <v>38.0753320141235</v>
      </c>
      <c r="AI130" s="36">
        <f t="shared" si="227"/>
        <v>35.153068502827665</v>
      </c>
      <c r="AJ130" s="36">
        <f t="shared" si="227"/>
        <v>33.14867289624579</v>
      </c>
      <c r="AK130" s="36">
        <f t="shared" si="227"/>
        <v>31.981914886201256</v>
      </c>
      <c r="AL130" s="36">
        <f t="shared" si="227"/>
        <v>28.833204269737966</v>
      </c>
      <c r="AM130" s="37">
        <f t="shared" si="227"/>
        <v>31.91940027441582</v>
      </c>
      <c r="AN130" s="26">
        <f t="shared" si="227"/>
        <v>30.690490105390044</v>
      </c>
      <c r="AO130" s="26">
        <f t="shared" si="227"/>
        <v>23.691485437054283</v>
      </c>
      <c r="AP130" s="26">
        <f t="shared" si="227"/>
        <v>25.04573381682542</v>
      </c>
      <c r="AQ130" s="26">
        <f t="shared" si="227"/>
        <v>22.144451030788083</v>
      </c>
      <c r="AR130" s="26">
        <f t="shared" si="227"/>
        <v>21.073081351737464</v>
      </c>
      <c r="AS130" s="26">
        <f t="shared" si="227"/>
        <v>18.97396617749163</v>
      </c>
      <c r="AT130" s="26">
        <f t="shared" si="227"/>
        <v>16.468834819730095</v>
      </c>
      <c r="AU130" s="26">
        <f aca="true" t="shared" si="228" ref="AU130:BW130">((AU4/AI4)-1)*100</f>
        <v>16.26711281329318</v>
      </c>
      <c r="AV130" s="26">
        <f t="shared" si="228"/>
        <v>16.73750878968714</v>
      </c>
      <c r="AW130" s="27">
        <f t="shared" si="228"/>
        <v>16.24444989792746</v>
      </c>
      <c r="AX130" s="26">
        <f t="shared" si="228"/>
        <v>15.350479975680642</v>
      </c>
      <c r="AY130" s="204">
        <f t="shared" si="228"/>
        <v>12.285059238681795</v>
      </c>
      <c r="AZ130" s="26">
        <f t="shared" si="228"/>
        <v>10.750363821649156</v>
      </c>
      <c r="BA130" s="26">
        <f t="shared" si="228"/>
        <v>13.799036412106691</v>
      </c>
      <c r="BB130" s="26">
        <f t="shared" si="228"/>
        <v>12.10338984774124</v>
      </c>
      <c r="BC130" s="27">
        <f t="shared" si="228"/>
        <v>15.909235680608024</v>
      </c>
      <c r="BD130" s="26">
        <f t="shared" si="228"/>
        <v>14.711686671893665</v>
      </c>
      <c r="BE130" s="26">
        <f t="shared" si="228"/>
        <v>12.367533659135344</v>
      </c>
      <c r="BF130" s="26">
        <f t="shared" si="228"/>
        <v>13.594954177859453</v>
      </c>
      <c r="BG130" s="26">
        <f t="shared" si="228"/>
        <v>11.960327248555203</v>
      </c>
      <c r="BH130" s="26">
        <f t="shared" si="228"/>
        <v>12.916449602190472</v>
      </c>
      <c r="BI130" s="26">
        <f t="shared" si="228"/>
        <v>13.583305700322601</v>
      </c>
      <c r="BJ130" s="26">
        <f t="shared" si="228"/>
        <v>12.71832923423235</v>
      </c>
      <c r="BK130" s="204">
        <f t="shared" si="228"/>
        <v>11.74648501982809</v>
      </c>
      <c r="BL130" s="205">
        <f t="shared" si="228"/>
        <v>9.185109376998835</v>
      </c>
      <c r="BM130" s="26">
        <f t="shared" si="228"/>
        <v>7.097239803194921</v>
      </c>
      <c r="BN130" s="26">
        <f t="shared" si="228"/>
        <v>8.320028986491824</v>
      </c>
      <c r="BO130" s="26">
        <f t="shared" si="228"/>
        <v>3.8245133819951427</v>
      </c>
      <c r="BP130" s="26">
        <f t="shared" si="228"/>
        <v>4.688684832483703</v>
      </c>
      <c r="BQ130" s="26">
        <f t="shared" si="228"/>
        <v>8.803887916532126</v>
      </c>
      <c r="BR130" s="26">
        <f t="shared" si="228"/>
        <v>7.917442057181523</v>
      </c>
      <c r="BS130" s="27">
        <f t="shared" si="228"/>
        <v>10.751129203145048</v>
      </c>
      <c r="BT130" s="27">
        <f t="shared" si="228"/>
        <v>8.234465572349524</v>
      </c>
      <c r="BU130" s="27">
        <f t="shared" si="228"/>
        <v>5.530961651288058</v>
      </c>
      <c r="BV130" s="27">
        <f t="shared" si="228"/>
        <v>4.7865595942518935</v>
      </c>
      <c r="BW130" s="194">
        <f t="shared" si="228"/>
        <v>6.107396795075881</v>
      </c>
      <c r="BX130" s="195"/>
      <c r="BY130" s="27"/>
      <c r="BZ130" s="27"/>
      <c r="CA130" s="27"/>
      <c r="CB130" s="27"/>
      <c r="CC130" s="27"/>
      <c r="CD130" s="27"/>
      <c r="CE130" s="27"/>
      <c r="CF130" s="27"/>
      <c r="CG130" s="27"/>
      <c r="CH130" s="27"/>
      <c r="CI130" s="194"/>
      <c r="CJ130" s="195"/>
      <c r="CK130" s="27"/>
      <c r="CL130" s="27"/>
      <c r="CM130" s="27"/>
      <c r="CN130" s="122"/>
      <c r="CO130" s="122"/>
      <c r="CP130" s="97"/>
      <c r="CQ130" s="97"/>
      <c r="CR130" s="97"/>
      <c r="CS130" s="97"/>
      <c r="CT130" s="97"/>
      <c r="CU130" s="191"/>
      <c r="CV130" s="97"/>
      <c r="CW130" s="97"/>
      <c r="CX130" s="97"/>
      <c r="CY130" s="97"/>
      <c r="CZ130" s="97"/>
      <c r="DA130" s="97"/>
      <c r="DB130" s="97"/>
      <c r="DC130" s="97"/>
      <c r="DD130" s="97"/>
      <c r="DE130" s="108"/>
      <c r="DF130" s="97"/>
      <c r="DG130" s="157"/>
      <c r="DH130" s="118"/>
      <c r="DI130" s="101"/>
      <c r="DJ130" s="100"/>
      <c r="DK130" s="100"/>
      <c r="DL130" s="101"/>
      <c r="DM130" s="101"/>
      <c r="DN130" s="101"/>
      <c r="DO130" s="101"/>
      <c r="DP130" s="101"/>
      <c r="DQ130" s="101"/>
      <c r="DR130" s="101"/>
      <c r="DS130" s="127"/>
      <c r="DT130" s="104"/>
      <c r="DU130" s="101"/>
      <c r="DV130" s="101"/>
      <c r="DW130" s="101"/>
      <c r="DX130" s="101"/>
      <c r="DY130" s="101"/>
      <c r="DZ130" s="101"/>
      <c r="EA130" s="101"/>
      <c r="EB130" s="101"/>
      <c r="EC130" s="101"/>
      <c r="ED130" s="101"/>
      <c r="EE130" s="127"/>
      <c r="EF130" s="101"/>
      <c r="EG130" s="113"/>
      <c r="EH130" s="101"/>
      <c r="EI130" s="101"/>
      <c r="EJ130" s="101"/>
      <c r="EK130" s="101"/>
      <c r="EL130" s="101"/>
      <c r="EM130" s="113"/>
      <c r="EN130" s="113"/>
      <c r="EO130" s="113"/>
      <c r="EP130" s="113"/>
      <c r="EQ130" s="137"/>
      <c r="ER130" s="138"/>
      <c r="ES130" s="113"/>
      <c r="ET130" s="113"/>
      <c r="EU130" s="113"/>
      <c r="EV130" s="113"/>
      <c r="EW130" s="113"/>
      <c r="EX130" s="113"/>
      <c r="EY130" s="113"/>
      <c r="EZ130" s="113"/>
      <c r="FA130" s="113"/>
      <c r="FB130" s="113"/>
      <c r="FC130" s="137"/>
      <c r="FD130" s="293"/>
      <c r="FE130" s="293"/>
      <c r="FF130" s="293"/>
      <c r="FG130" s="293"/>
      <c r="FH130" s="293"/>
      <c r="FI130" s="293"/>
      <c r="FJ130" s="293"/>
      <c r="FK130" s="137"/>
      <c r="FL130" s="138"/>
      <c r="FM130" s="138"/>
      <c r="FN130" s="138"/>
      <c r="FO130" s="293"/>
      <c r="FP130" s="137"/>
      <c r="FQ130" s="138"/>
      <c r="FR130" s="293"/>
      <c r="FS130" s="293"/>
      <c r="FT130" s="293"/>
      <c r="FU130" s="293"/>
      <c r="FV130" s="113"/>
      <c r="FW130" s="293"/>
      <c r="FX130" s="293"/>
      <c r="FY130" s="113"/>
      <c r="FZ130" s="138"/>
      <c r="GA130" s="138"/>
      <c r="GB130" s="138"/>
      <c r="GC130" s="138"/>
      <c r="GD130" s="293"/>
    </row>
    <row r="131" spans="1:186" ht="15" customHeight="1">
      <c r="A131" s="3"/>
      <c r="B131" s="117" t="s">
        <v>61</v>
      </c>
      <c r="C131" s="19"/>
      <c r="D131" s="35"/>
      <c r="E131" s="36"/>
      <c r="F131" s="36"/>
      <c r="G131" s="36"/>
      <c r="H131" s="36"/>
      <c r="I131" s="36"/>
      <c r="J131" s="36"/>
      <c r="K131" s="36"/>
      <c r="L131" s="36"/>
      <c r="M131" s="36"/>
      <c r="N131" s="36"/>
      <c r="O131" s="37"/>
      <c r="P131" s="35"/>
      <c r="Q131" s="36"/>
      <c r="R131" s="36"/>
      <c r="S131" s="36"/>
      <c r="T131" s="36"/>
      <c r="U131" s="36"/>
      <c r="V131" s="36"/>
      <c r="W131" s="36"/>
      <c r="X131" s="36"/>
      <c r="Y131" s="36"/>
      <c r="Z131" s="36"/>
      <c r="AA131" s="37"/>
      <c r="AB131" s="35"/>
      <c r="AC131" s="36"/>
      <c r="AD131" s="36"/>
      <c r="AE131" s="36"/>
      <c r="AF131" s="36"/>
      <c r="AG131" s="36"/>
      <c r="AH131" s="36"/>
      <c r="AI131" s="36"/>
      <c r="AJ131" s="36"/>
      <c r="AK131" s="36"/>
      <c r="AL131" s="36"/>
      <c r="AM131" s="37"/>
      <c r="AN131" s="26"/>
      <c r="AO131" s="26"/>
      <c r="AP131" s="26"/>
      <c r="AQ131" s="26"/>
      <c r="AR131" s="26"/>
      <c r="AS131" s="26"/>
      <c r="AT131" s="26"/>
      <c r="AU131" s="26"/>
      <c r="AV131" s="26"/>
      <c r="AW131" s="27"/>
      <c r="AX131" s="26"/>
      <c r="AY131" s="204"/>
      <c r="AZ131" s="26"/>
      <c r="BA131" s="26"/>
      <c r="BB131" s="26"/>
      <c r="BC131" s="27"/>
      <c r="BD131" s="26"/>
      <c r="BE131" s="26"/>
      <c r="BF131" s="26"/>
      <c r="BG131" s="26"/>
      <c r="BH131" s="26"/>
      <c r="BI131" s="26"/>
      <c r="BJ131" s="26"/>
      <c r="BK131" s="204"/>
      <c r="BL131" s="205"/>
      <c r="BM131" s="27">
        <f aca="true" t="shared" si="229" ref="BM131:CR131">(BM5/BL5)*100-100</f>
        <v>0</v>
      </c>
      <c r="BN131" s="27">
        <f t="shared" si="229"/>
        <v>-0.7462686567164099</v>
      </c>
      <c r="BO131" s="27">
        <f t="shared" si="229"/>
        <v>0.501253132832062</v>
      </c>
      <c r="BP131" s="27">
        <f t="shared" si="229"/>
        <v>0.6650041562759696</v>
      </c>
      <c r="BQ131" s="27">
        <f t="shared" si="229"/>
        <v>-0.41288191577208977</v>
      </c>
      <c r="BR131" s="27">
        <f t="shared" si="229"/>
        <v>1.4096185737976867</v>
      </c>
      <c r="BS131" s="27">
        <f t="shared" si="229"/>
        <v>1.3082583810302566</v>
      </c>
      <c r="BT131" s="27">
        <f t="shared" si="229"/>
        <v>0.08071025020177558</v>
      </c>
      <c r="BU131" s="27">
        <f t="shared" si="229"/>
        <v>-0.24193548387097508</v>
      </c>
      <c r="BV131" s="27">
        <f t="shared" si="229"/>
        <v>0.6467259498787286</v>
      </c>
      <c r="BW131" s="194">
        <f t="shared" si="229"/>
        <v>-0.5622489959839356</v>
      </c>
      <c r="BX131" s="195">
        <f t="shared" si="229"/>
        <v>-0.4038772213247199</v>
      </c>
      <c r="BY131" s="27">
        <f t="shared" si="229"/>
        <v>0.2433090024330795</v>
      </c>
      <c r="BZ131" s="27">
        <f t="shared" si="229"/>
        <v>0.16181229773462746</v>
      </c>
      <c r="CA131" s="27">
        <f t="shared" si="229"/>
        <v>0</v>
      </c>
      <c r="CB131" s="27">
        <f t="shared" si="229"/>
        <v>-0.6462035541195377</v>
      </c>
      <c r="CC131" s="27">
        <f t="shared" si="229"/>
        <v>-0.325203252032523</v>
      </c>
      <c r="CD131" s="27">
        <f t="shared" si="229"/>
        <v>0.3262642740619981</v>
      </c>
      <c r="CE131" s="27">
        <f t="shared" si="229"/>
        <v>2.439024390243901</v>
      </c>
      <c r="CF131" s="27">
        <f t="shared" si="229"/>
        <v>1.0317460317460245</v>
      </c>
      <c r="CG131" s="27">
        <f t="shared" si="229"/>
        <v>0.6284367635506669</v>
      </c>
      <c r="CH131" s="27">
        <f t="shared" si="229"/>
        <v>0.1561280249805037</v>
      </c>
      <c r="CI131" s="194">
        <f t="shared" si="229"/>
        <v>-0.31176929072486814</v>
      </c>
      <c r="CJ131" s="195">
        <f t="shared" si="229"/>
        <v>2.032838154808431</v>
      </c>
      <c r="CK131" s="27">
        <f t="shared" si="229"/>
        <v>0.3065134099616813</v>
      </c>
      <c r="CL131" s="27">
        <f t="shared" si="229"/>
        <v>-0.6875477463712798</v>
      </c>
      <c r="CM131" s="27">
        <f t="shared" si="229"/>
        <v>0.7692307692307736</v>
      </c>
      <c r="CN131" s="27">
        <f t="shared" si="229"/>
        <v>0.0763358778626042</v>
      </c>
      <c r="CO131" s="27">
        <f t="shared" si="229"/>
        <v>-0.7627765064836041</v>
      </c>
      <c r="CP131" s="27">
        <f t="shared" si="229"/>
        <v>0.3843197540353742</v>
      </c>
      <c r="CQ131" s="27">
        <f t="shared" si="229"/>
        <v>1.531393568147024</v>
      </c>
      <c r="CR131" s="27">
        <f t="shared" si="229"/>
        <v>0.9049773755656361</v>
      </c>
      <c r="CS131" s="27">
        <f aca="true" t="shared" si="230" ref="CS131:DX131">(CS5/CR5)*100-100</f>
        <v>0.2989536621823561</v>
      </c>
      <c r="CT131" s="27">
        <f t="shared" si="230"/>
        <v>0.1490312965722893</v>
      </c>
      <c r="CU131" s="194">
        <f t="shared" si="230"/>
        <v>0.8928571428571388</v>
      </c>
      <c r="CV131" s="27">
        <f t="shared" si="230"/>
        <v>1.401179941002951</v>
      </c>
      <c r="CW131" s="27">
        <f t="shared" si="230"/>
        <v>0.6545454545454561</v>
      </c>
      <c r="CX131" s="27">
        <f t="shared" si="230"/>
        <v>1.7341040462427628</v>
      </c>
      <c r="CY131" s="27">
        <f t="shared" si="230"/>
        <v>1.136363636363626</v>
      </c>
      <c r="CZ131" s="27">
        <f t="shared" si="230"/>
        <v>-1.264044943820224</v>
      </c>
      <c r="DA131" s="27">
        <f t="shared" si="230"/>
        <v>-2.0625889046941666</v>
      </c>
      <c r="DB131" s="27">
        <f t="shared" si="230"/>
        <v>0.29048656499637104</v>
      </c>
      <c r="DC131" s="27">
        <f t="shared" si="230"/>
        <v>2.75162925416366</v>
      </c>
      <c r="DD131" s="99">
        <f t="shared" si="230"/>
        <v>0.2818886539816816</v>
      </c>
      <c r="DE131" s="99">
        <f t="shared" si="230"/>
        <v>-1.194659170766002</v>
      </c>
      <c r="DF131" s="99">
        <f t="shared" si="230"/>
        <v>-0.07112375533428406</v>
      </c>
      <c r="DG131" s="116">
        <f t="shared" si="230"/>
        <v>0</v>
      </c>
      <c r="DH131" s="105">
        <f t="shared" si="230"/>
        <v>0.5693950177936102</v>
      </c>
      <c r="DI131" s="102">
        <f t="shared" si="230"/>
        <v>0.07077140835100693</v>
      </c>
      <c r="DJ131" s="99">
        <f t="shared" si="230"/>
        <v>0.8486562942008362</v>
      </c>
      <c r="DK131" s="99">
        <f t="shared" si="230"/>
        <v>1.0518934081346458</v>
      </c>
      <c r="DL131" s="99">
        <f t="shared" si="230"/>
        <v>-1.3185287994448345</v>
      </c>
      <c r="DM131" s="99">
        <f t="shared" si="230"/>
        <v>-0.9142053445850848</v>
      </c>
      <c r="DN131" s="99">
        <f t="shared" si="230"/>
        <v>0.4258339247693357</v>
      </c>
      <c r="DO131" s="99">
        <f t="shared" si="230"/>
        <v>0.35335689045936647</v>
      </c>
      <c r="DP131" s="99">
        <f t="shared" si="230"/>
        <v>0.49295774647886503</v>
      </c>
      <c r="DQ131" s="99">
        <f t="shared" si="230"/>
        <v>1.6117729502452818</v>
      </c>
      <c r="DR131" s="99">
        <f t="shared" si="230"/>
        <v>-0.48275862068965125</v>
      </c>
      <c r="DS131" s="116">
        <f t="shared" si="230"/>
        <v>0.4158004158004047</v>
      </c>
      <c r="DT131" s="105">
        <f t="shared" si="230"/>
        <v>1.4492753623188435</v>
      </c>
      <c r="DU131" s="99">
        <f t="shared" si="230"/>
        <v>-0.8843537414965965</v>
      </c>
      <c r="DV131" s="99">
        <f t="shared" si="230"/>
        <v>-0.13726835964308748</v>
      </c>
      <c r="DW131" s="99">
        <f t="shared" si="230"/>
        <v>0.4810996563573866</v>
      </c>
      <c r="DX131" s="99">
        <f t="shared" si="230"/>
        <v>-1.367989056087552</v>
      </c>
      <c r="DY131" s="99">
        <f aca="true" t="shared" si="231" ref="DY131:EQ131">(DY5/DX5)*100-100</f>
        <v>-0.06934812760054854</v>
      </c>
      <c r="DZ131" s="99">
        <f t="shared" si="231"/>
        <v>0.48577376821651796</v>
      </c>
      <c r="EA131" s="99">
        <f t="shared" si="231"/>
        <v>0.7596685082872767</v>
      </c>
      <c r="EB131" s="99">
        <f t="shared" si="231"/>
        <v>-0.1370801919122755</v>
      </c>
      <c r="EC131" s="99">
        <f t="shared" si="231"/>
        <v>0.4118050789293335</v>
      </c>
      <c r="ED131" s="99">
        <f t="shared" si="231"/>
        <v>1.5721120984278656</v>
      </c>
      <c r="EE131" s="116">
        <f t="shared" si="231"/>
        <v>-0.9421265141318997</v>
      </c>
      <c r="EF131" s="99">
        <f t="shared" si="231"/>
        <v>-0.5434782608695627</v>
      </c>
      <c r="EG131" s="113">
        <f t="shared" si="231"/>
        <v>-0.13661202185794252</v>
      </c>
      <c r="EH131" s="113">
        <f t="shared" si="231"/>
        <v>-0.27359781121749904</v>
      </c>
      <c r="EI131" s="109">
        <f t="shared" si="231"/>
        <v>0.8230452674897037</v>
      </c>
      <c r="EJ131" s="113">
        <f t="shared" si="231"/>
        <v>-0.27210884353742415</v>
      </c>
      <c r="EK131" s="113">
        <f t="shared" si="231"/>
        <v>0.4092769440654678</v>
      </c>
      <c r="EL131" s="109">
        <f t="shared" si="231"/>
        <v>0.951086956521749</v>
      </c>
      <c r="EM131" s="109">
        <f t="shared" si="231"/>
        <v>0.7402422611036314</v>
      </c>
      <c r="EN131" s="109">
        <f t="shared" si="231"/>
        <v>-0.6012024048096123</v>
      </c>
      <c r="EO131" s="109">
        <f t="shared" si="231"/>
        <v>-0.1344086021505433</v>
      </c>
      <c r="EP131" s="109">
        <f t="shared" si="231"/>
        <v>1.009421265141313</v>
      </c>
      <c r="EQ131" s="141">
        <f t="shared" si="231"/>
        <v>0.3331112591605603</v>
      </c>
      <c r="ER131" s="138"/>
      <c r="ES131" s="113"/>
      <c r="ET131" s="113"/>
      <c r="EU131" s="113"/>
      <c r="EV131" s="113"/>
      <c r="EW131" s="113"/>
      <c r="EX131" s="113"/>
      <c r="EY131" s="113"/>
      <c r="EZ131" s="113"/>
      <c r="FA131" s="113"/>
      <c r="FB131" s="113"/>
      <c r="FC131" s="137"/>
      <c r="FD131" s="293"/>
      <c r="FE131" s="293"/>
      <c r="FF131" s="293"/>
      <c r="FG131" s="293"/>
      <c r="FH131" s="293"/>
      <c r="FI131" s="293"/>
      <c r="FJ131" s="293"/>
      <c r="FK131" s="137"/>
      <c r="FL131" s="138"/>
      <c r="FM131" s="138"/>
      <c r="FN131" s="138"/>
      <c r="FO131" s="293"/>
      <c r="FP131" s="137"/>
      <c r="FQ131" s="138"/>
      <c r="FR131" s="293"/>
      <c r="FS131" s="293"/>
      <c r="FT131" s="293"/>
      <c r="FU131" s="293"/>
      <c r="FV131" s="113"/>
      <c r="FW131" s="293"/>
      <c r="FX131" s="293"/>
      <c r="FY131" s="113"/>
      <c r="FZ131" s="138"/>
      <c r="GA131" s="138"/>
      <c r="GB131" s="138"/>
      <c r="GC131" s="138"/>
      <c r="GD131" s="293"/>
    </row>
    <row r="132" spans="1:186" ht="15" customHeight="1">
      <c r="A132" s="3"/>
      <c r="B132" s="117" t="s">
        <v>14</v>
      </c>
      <c r="C132" s="19"/>
      <c r="D132" s="35"/>
      <c r="E132" s="36"/>
      <c r="F132" s="36"/>
      <c r="G132" s="36"/>
      <c r="H132" s="36"/>
      <c r="I132" s="36"/>
      <c r="J132" s="36"/>
      <c r="K132" s="36"/>
      <c r="L132" s="36"/>
      <c r="M132" s="36"/>
      <c r="N132" s="36"/>
      <c r="O132" s="37"/>
      <c r="P132" s="35"/>
      <c r="Q132" s="36"/>
      <c r="R132" s="36"/>
      <c r="S132" s="36"/>
      <c r="T132" s="36"/>
      <c r="U132" s="36"/>
      <c r="V132" s="36"/>
      <c r="W132" s="36"/>
      <c r="X132" s="36"/>
      <c r="Y132" s="36"/>
      <c r="Z132" s="36"/>
      <c r="AA132" s="37"/>
      <c r="AB132" s="35"/>
      <c r="AC132" s="36"/>
      <c r="AD132" s="36"/>
      <c r="AE132" s="36"/>
      <c r="AF132" s="36"/>
      <c r="AG132" s="36"/>
      <c r="AH132" s="36"/>
      <c r="AI132" s="36"/>
      <c r="AJ132" s="36"/>
      <c r="AK132" s="36"/>
      <c r="AL132" s="36"/>
      <c r="AM132" s="37"/>
      <c r="AN132" s="26"/>
      <c r="AO132" s="26"/>
      <c r="AP132" s="26"/>
      <c r="AQ132" s="26"/>
      <c r="AR132" s="26"/>
      <c r="AS132" s="26"/>
      <c r="AT132" s="26"/>
      <c r="AU132" s="26"/>
      <c r="AV132" s="26"/>
      <c r="AW132" s="27"/>
      <c r="AX132" s="26"/>
      <c r="AY132" s="204"/>
      <c r="AZ132" s="26"/>
      <c r="BA132" s="26"/>
      <c r="BB132" s="26"/>
      <c r="BC132" s="27"/>
      <c r="BD132" s="26"/>
      <c r="BE132" s="26"/>
      <c r="BF132" s="26"/>
      <c r="BG132" s="26"/>
      <c r="BH132" s="26"/>
      <c r="BI132" s="26"/>
      <c r="BJ132" s="26"/>
      <c r="BK132" s="204"/>
      <c r="BL132" s="205"/>
      <c r="BM132" s="26"/>
      <c r="BN132" s="26"/>
      <c r="BO132" s="26"/>
      <c r="BP132" s="26"/>
      <c r="BQ132" s="26"/>
      <c r="BR132" s="26"/>
      <c r="BS132" s="27"/>
      <c r="BT132" s="27"/>
      <c r="BU132" s="27"/>
      <c r="BV132" s="27"/>
      <c r="BW132" s="194"/>
      <c r="BX132" s="195">
        <f aca="true" t="shared" si="232" ref="BX132:DC132">(POWER(BX5/BL5,1)-1)*100</f>
        <v>2.238805970149249</v>
      </c>
      <c r="BY132" s="27">
        <f t="shared" si="232"/>
        <v>2.487562189054726</v>
      </c>
      <c r="BZ132" s="27">
        <f t="shared" si="232"/>
        <v>3.42522974101922</v>
      </c>
      <c r="CA132" s="27">
        <f t="shared" si="232"/>
        <v>2.9093931837073983</v>
      </c>
      <c r="CB132" s="27">
        <f t="shared" si="232"/>
        <v>1.56895127993395</v>
      </c>
      <c r="CC132" s="27">
        <f t="shared" si="232"/>
        <v>1.6583747927031434</v>
      </c>
      <c r="CD132" s="27">
        <f t="shared" si="232"/>
        <v>0.5723630417007408</v>
      </c>
      <c r="CE132" s="27">
        <f t="shared" si="232"/>
        <v>1.6949152542372836</v>
      </c>
      <c r="CF132" s="27">
        <f t="shared" si="232"/>
        <v>2.661290322580645</v>
      </c>
      <c r="CG132" s="27">
        <f t="shared" si="232"/>
        <v>3.5569927243330524</v>
      </c>
      <c r="CH132" s="27">
        <f t="shared" si="232"/>
        <v>3.0522088353413857</v>
      </c>
      <c r="CI132" s="194">
        <f t="shared" si="232"/>
        <v>3.3117932148626794</v>
      </c>
      <c r="CJ132" s="195">
        <f t="shared" si="232"/>
        <v>5.8394160583941535</v>
      </c>
      <c r="CK132" s="27">
        <f t="shared" si="232"/>
        <v>5.906148867313932</v>
      </c>
      <c r="CL132" s="27">
        <f t="shared" si="232"/>
        <v>5.0080775444264924</v>
      </c>
      <c r="CM132" s="27">
        <f t="shared" si="232"/>
        <v>5.815831987075937</v>
      </c>
      <c r="CN132" s="27">
        <f t="shared" si="232"/>
        <v>6.585365853658542</v>
      </c>
      <c r="CO132" s="27">
        <f t="shared" si="232"/>
        <v>6.117455138662309</v>
      </c>
      <c r="CP132" s="27">
        <f t="shared" si="232"/>
        <v>6.178861788617884</v>
      </c>
      <c r="CQ132" s="27">
        <f t="shared" si="232"/>
        <v>5.238095238095242</v>
      </c>
      <c r="CR132" s="27">
        <f t="shared" si="232"/>
        <v>5.106048703849186</v>
      </c>
      <c r="CS132" s="27">
        <f t="shared" si="232"/>
        <v>4.761904761904767</v>
      </c>
      <c r="CT132" s="27">
        <f t="shared" si="232"/>
        <v>4.754481683554168</v>
      </c>
      <c r="CU132" s="194">
        <f t="shared" si="232"/>
        <v>6.020328381548068</v>
      </c>
      <c r="CV132" s="207">
        <f t="shared" si="232"/>
        <v>5.363984674329503</v>
      </c>
      <c r="CW132" s="207">
        <f t="shared" si="232"/>
        <v>5.729564553093969</v>
      </c>
      <c r="CX132" s="207">
        <f t="shared" si="232"/>
        <v>8.307692307692328</v>
      </c>
      <c r="CY132" s="207">
        <f t="shared" si="232"/>
        <v>8.702290076335872</v>
      </c>
      <c r="CZ132" s="207">
        <f t="shared" si="232"/>
        <v>7.246376811594213</v>
      </c>
      <c r="DA132" s="207">
        <f t="shared" si="232"/>
        <v>5.8416602613374335</v>
      </c>
      <c r="DB132" s="207">
        <f t="shared" si="232"/>
        <v>5.7427258805512915</v>
      </c>
      <c r="DC132" s="207">
        <f t="shared" si="232"/>
        <v>7.013574660633504</v>
      </c>
      <c r="DD132" s="208">
        <f aca="true" t="shared" si="233" ref="DD132:EI132">(POWER(DD5/CR5,1)-1)*100</f>
        <v>6.352765321375187</v>
      </c>
      <c r="DE132" s="208">
        <f t="shared" si="233"/>
        <v>4.769001490312963</v>
      </c>
      <c r="DF132" s="208">
        <f t="shared" si="233"/>
        <v>4.538690476190466</v>
      </c>
      <c r="DG132" s="209">
        <f t="shared" si="233"/>
        <v>3.613569321533938</v>
      </c>
      <c r="DH132" s="120">
        <f t="shared" si="233"/>
        <v>2.763636363636368</v>
      </c>
      <c r="DI132" s="121">
        <f t="shared" si="233"/>
        <v>2.1676300578034713</v>
      </c>
      <c r="DJ132" s="99">
        <f t="shared" si="233"/>
        <v>1.2784090909090828</v>
      </c>
      <c r="DK132" s="99">
        <f t="shared" si="233"/>
        <v>1.1938202247190999</v>
      </c>
      <c r="DL132" s="99">
        <f t="shared" si="233"/>
        <v>1.1379800853485111</v>
      </c>
      <c r="DM132" s="99">
        <f t="shared" si="233"/>
        <v>2.3238925199709604</v>
      </c>
      <c r="DN132" s="99">
        <f t="shared" si="233"/>
        <v>2.4619840695148554</v>
      </c>
      <c r="DO132" s="99">
        <f t="shared" si="233"/>
        <v>0.0704721634954053</v>
      </c>
      <c r="DP132" s="99">
        <f t="shared" si="233"/>
        <v>0.28109627547432403</v>
      </c>
      <c r="DQ132" s="99">
        <f t="shared" si="233"/>
        <v>3.1294452347083945</v>
      </c>
      <c r="DR132" s="99">
        <f t="shared" si="233"/>
        <v>2.7046263345195776</v>
      </c>
      <c r="DS132" s="116">
        <f t="shared" si="233"/>
        <v>3.1316725978647764</v>
      </c>
      <c r="DT132" s="105">
        <f t="shared" si="233"/>
        <v>4.033970276008492</v>
      </c>
      <c r="DU132" s="99">
        <f t="shared" si="233"/>
        <v>3.0410183875530183</v>
      </c>
      <c r="DV132" s="99">
        <f t="shared" si="233"/>
        <v>2.0336605890603154</v>
      </c>
      <c r="DW132" s="99">
        <f t="shared" si="233"/>
        <v>1.4573213046495503</v>
      </c>
      <c r="DX132" s="99">
        <f t="shared" si="233"/>
        <v>1.4064697609001309</v>
      </c>
      <c r="DY132" s="99">
        <f t="shared" si="233"/>
        <v>2.271114265436469</v>
      </c>
      <c r="DZ132" s="99">
        <f t="shared" si="233"/>
        <v>2.3321554770318054</v>
      </c>
      <c r="EA132" s="99">
        <f t="shared" si="233"/>
        <v>2.746478873239444</v>
      </c>
      <c r="EB132" s="99">
        <f t="shared" si="233"/>
        <v>2.1023125437981793</v>
      </c>
      <c r="EC132" s="99">
        <f t="shared" si="233"/>
        <v>0.8965517241379395</v>
      </c>
      <c r="ED132" s="99">
        <f t="shared" si="233"/>
        <v>2.9799029799029597</v>
      </c>
      <c r="EE132" s="116">
        <f t="shared" si="233"/>
        <v>1.5873015873015817</v>
      </c>
      <c r="EF132" s="99">
        <f t="shared" si="233"/>
        <v>-0.40816326530611624</v>
      </c>
      <c r="EG132" s="113">
        <f t="shared" si="233"/>
        <v>0.34317089910775866</v>
      </c>
      <c r="EH132" s="113">
        <f t="shared" si="233"/>
        <v>0.20618556701030855</v>
      </c>
      <c r="EI132" s="109">
        <f t="shared" si="233"/>
        <v>0.5471956224350372</v>
      </c>
      <c r="EJ132" s="109">
        <f aca="true" t="shared" si="234" ref="EJ132:EQ132">(POWER(EJ5/DX5,1)-1)*100</f>
        <v>1.664355062413314</v>
      </c>
      <c r="EK132" s="113">
        <f t="shared" si="234"/>
        <v>2.151283830673134</v>
      </c>
      <c r="EL132" s="109">
        <f t="shared" si="234"/>
        <v>2.6243093922651894</v>
      </c>
      <c r="EM132" s="109">
        <f t="shared" si="234"/>
        <v>2.604523646333101</v>
      </c>
      <c r="EN132" s="109">
        <f t="shared" si="234"/>
        <v>2.1276595744680993</v>
      </c>
      <c r="EO132" s="109">
        <f t="shared" si="234"/>
        <v>1.5721120984278691</v>
      </c>
      <c r="EP132" s="109">
        <f t="shared" si="234"/>
        <v>1.0094212651413192</v>
      </c>
      <c r="EQ132" s="141">
        <f t="shared" si="234"/>
        <v>2.309782608695654</v>
      </c>
      <c r="ER132" s="138"/>
      <c r="ES132" s="113"/>
      <c r="ET132" s="113"/>
      <c r="EU132" s="113"/>
      <c r="EV132" s="113"/>
      <c r="EW132" s="113"/>
      <c r="EX132" s="113"/>
      <c r="EY132" s="113"/>
      <c r="EZ132" s="113"/>
      <c r="FA132" s="113"/>
      <c r="FB132" s="113"/>
      <c r="FC132" s="137"/>
      <c r="FD132" s="293"/>
      <c r="FE132" s="293"/>
      <c r="FF132" s="293"/>
      <c r="FG132" s="293"/>
      <c r="FH132" s="293"/>
      <c r="FI132" s="293"/>
      <c r="FJ132" s="293"/>
      <c r="FK132" s="137"/>
      <c r="FL132" s="138"/>
      <c r="FM132" s="138"/>
      <c r="FN132" s="138"/>
      <c r="FO132" s="293"/>
      <c r="FP132" s="137"/>
      <c r="FQ132" s="138"/>
      <c r="FR132" s="293"/>
      <c r="FS132" s="293"/>
      <c r="FT132" s="293"/>
      <c r="FU132" s="293"/>
      <c r="FV132" s="113"/>
      <c r="FW132" s="293"/>
      <c r="FX132" s="293"/>
      <c r="FY132" s="113"/>
      <c r="FZ132" s="138"/>
      <c r="GA132" s="138"/>
      <c r="GB132" s="138"/>
      <c r="GC132" s="138"/>
      <c r="GD132" s="293"/>
    </row>
    <row r="133" spans="1:186" ht="15" customHeight="1">
      <c r="A133" s="3"/>
      <c r="B133" s="117" t="s">
        <v>89</v>
      </c>
      <c r="C133" s="19"/>
      <c r="D133" s="35"/>
      <c r="E133" s="36"/>
      <c r="F133" s="36"/>
      <c r="G133" s="36"/>
      <c r="H133" s="36"/>
      <c r="I133" s="36"/>
      <c r="J133" s="36"/>
      <c r="K133" s="36"/>
      <c r="L133" s="25"/>
      <c r="M133" s="25"/>
      <c r="N133" s="25"/>
      <c r="O133" s="37"/>
      <c r="P133" s="38"/>
      <c r="Q133" s="25"/>
      <c r="R133" s="25"/>
      <c r="S133" s="25"/>
      <c r="T133" s="25"/>
      <c r="U133" s="25"/>
      <c r="V133" s="25"/>
      <c r="W133" s="25"/>
      <c r="X133" s="25"/>
      <c r="Y133" s="25"/>
      <c r="Z133" s="25"/>
      <c r="AA133" s="37"/>
      <c r="AB133" s="35"/>
      <c r="AC133" s="36"/>
      <c r="AD133" s="36"/>
      <c r="AE133" s="36"/>
      <c r="AF133" s="36"/>
      <c r="AG133" s="36"/>
      <c r="AH133" s="36"/>
      <c r="AI133" s="36"/>
      <c r="AJ133" s="36"/>
      <c r="AK133" s="36"/>
      <c r="AL133" s="36"/>
      <c r="AM133" s="37"/>
      <c r="AN133" s="26"/>
      <c r="AO133" s="26"/>
      <c r="AP133" s="26"/>
      <c r="AQ133" s="26"/>
      <c r="AR133" s="26"/>
      <c r="AS133" s="26"/>
      <c r="AT133" s="26"/>
      <c r="AU133" s="26"/>
      <c r="AV133" s="26"/>
      <c r="AW133" s="27"/>
      <c r="AX133" s="26"/>
      <c r="AY133" s="204"/>
      <c r="AZ133" s="26"/>
      <c r="BA133" s="27"/>
      <c r="BB133" s="26"/>
      <c r="BC133" s="27"/>
      <c r="BD133" s="3"/>
      <c r="BE133" s="3"/>
      <c r="BF133" s="3"/>
      <c r="BG133" s="3"/>
      <c r="BH133" s="3"/>
      <c r="BI133" s="3"/>
      <c r="BJ133" s="3"/>
      <c r="BK133" s="189"/>
      <c r="BL133" s="190"/>
      <c r="BM133" s="3"/>
      <c r="BN133" s="3"/>
      <c r="BO133" s="3"/>
      <c r="BP133" s="3"/>
      <c r="BQ133" s="3"/>
      <c r="BR133" s="3"/>
      <c r="BS133" s="3"/>
      <c r="BT133" s="3"/>
      <c r="BU133" s="3"/>
      <c r="BV133" s="3"/>
      <c r="BW133" s="189"/>
      <c r="BX133" s="195">
        <f aca="true" t="shared" si="235" ref="BX133:DC133">((BX6/BL6)-1)*100</f>
        <v>3.7783375314861534</v>
      </c>
      <c r="BY133" s="27">
        <f t="shared" si="235"/>
        <v>3.352891869237218</v>
      </c>
      <c r="BZ133" s="27">
        <f t="shared" si="235"/>
        <v>3.6104114189756675</v>
      </c>
      <c r="CA133" s="27">
        <f t="shared" si="235"/>
        <v>3.0000000000000027</v>
      </c>
      <c r="CB133" s="27">
        <f t="shared" si="235"/>
        <v>2.9975020815986797</v>
      </c>
      <c r="CC133" s="27">
        <f t="shared" si="235"/>
        <v>2.740863787375414</v>
      </c>
      <c r="CD133" s="27">
        <f t="shared" si="235"/>
        <v>1.8047579983593076</v>
      </c>
      <c r="CE133" s="27">
        <f t="shared" si="235"/>
        <v>1.8775510204081636</v>
      </c>
      <c r="CF133" s="27">
        <f t="shared" si="235"/>
        <v>1.8668831168831224</v>
      </c>
      <c r="CG133" s="27">
        <f t="shared" si="235"/>
        <v>3.1630170316301776</v>
      </c>
      <c r="CH133" s="27">
        <f t="shared" si="235"/>
        <v>3.0744336569579422</v>
      </c>
      <c r="CI133" s="194">
        <f t="shared" si="235"/>
        <v>3.3198380566801466</v>
      </c>
      <c r="CJ133" s="195">
        <f t="shared" si="235"/>
        <v>5.258899676375406</v>
      </c>
      <c r="CK133" s="27">
        <f t="shared" si="235"/>
        <v>5.515004055150041</v>
      </c>
      <c r="CL133" s="27">
        <f t="shared" si="235"/>
        <v>5.672609400324147</v>
      </c>
      <c r="CM133" s="27">
        <f t="shared" si="235"/>
        <v>6.067961165048552</v>
      </c>
      <c r="CN133" s="27">
        <f t="shared" si="235"/>
        <v>6.305578011317703</v>
      </c>
      <c r="CO133" s="27">
        <f t="shared" si="235"/>
        <v>6.3864187550525475</v>
      </c>
      <c r="CP133" s="27">
        <f t="shared" si="235"/>
        <v>7.091055600322327</v>
      </c>
      <c r="CQ133" s="27">
        <f t="shared" si="235"/>
        <v>7.612179487179493</v>
      </c>
      <c r="CR133" s="27">
        <f t="shared" si="235"/>
        <v>7.25099601593624</v>
      </c>
      <c r="CS133" s="27">
        <f t="shared" si="235"/>
        <v>6.91823899371069</v>
      </c>
      <c r="CT133" s="27">
        <f t="shared" si="235"/>
        <v>6.4364207221349945</v>
      </c>
      <c r="CU133" s="194">
        <f t="shared" si="235"/>
        <v>6.974921630094055</v>
      </c>
      <c r="CV133" s="207">
        <f t="shared" si="235"/>
        <v>6.072252113758658</v>
      </c>
      <c r="CW133" s="207">
        <f t="shared" si="235"/>
        <v>6.302843966179883</v>
      </c>
      <c r="CX133" s="207">
        <f t="shared" si="235"/>
        <v>6.211656441717794</v>
      </c>
      <c r="CY133" s="207">
        <f t="shared" si="235"/>
        <v>6.712433257055683</v>
      </c>
      <c r="CZ133" s="207">
        <f t="shared" si="235"/>
        <v>6.235741444866916</v>
      </c>
      <c r="DA133" s="207">
        <f t="shared" si="235"/>
        <v>6.07902735562309</v>
      </c>
      <c r="DB133" s="207">
        <f t="shared" si="235"/>
        <v>5.869074492099302</v>
      </c>
      <c r="DC133" s="207">
        <f t="shared" si="235"/>
        <v>4.988830975428127</v>
      </c>
      <c r="DD133" s="208">
        <f aca="true" t="shared" si="236" ref="DD133:EI133">((DD6/CR6)-1)*100</f>
        <v>5.20059435364042</v>
      </c>
      <c r="DE133" s="208">
        <f t="shared" si="236"/>
        <v>4.5588235294117485</v>
      </c>
      <c r="DF133" s="208">
        <f t="shared" si="236"/>
        <v>4.867256637168138</v>
      </c>
      <c r="DG133" s="209">
        <f t="shared" si="236"/>
        <v>4.249084249084256</v>
      </c>
      <c r="DH133" s="120">
        <f t="shared" si="236"/>
        <v>3.6956521739130332</v>
      </c>
      <c r="DI133" s="121">
        <f t="shared" si="236"/>
        <v>3.3984092552422185</v>
      </c>
      <c r="DJ133" s="99">
        <f t="shared" si="236"/>
        <v>3.2490974729241895</v>
      </c>
      <c r="DK133" s="99">
        <f t="shared" si="236"/>
        <v>2.501786990707644</v>
      </c>
      <c r="DL133" s="99">
        <f t="shared" si="236"/>
        <v>2.791696492483897</v>
      </c>
      <c r="DM133" s="99">
        <f t="shared" si="236"/>
        <v>2.7936962750716443</v>
      </c>
      <c r="DN133" s="99">
        <f t="shared" si="236"/>
        <v>2.274342572850041</v>
      </c>
      <c r="DO133" s="99">
        <f t="shared" si="236"/>
        <v>2.0567375886524797</v>
      </c>
      <c r="DP133" s="99">
        <f t="shared" si="236"/>
        <v>1.5536723163841915</v>
      </c>
      <c r="DQ133" s="99">
        <f t="shared" si="236"/>
        <v>1.6174402250351605</v>
      </c>
      <c r="DR133" s="99">
        <f t="shared" si="236"/>
        <v>1.2658227848101333</v>
      </c>
      <c r="DS133" s="116">
        <f t="shared" si="236"/>
        <v>1.6163035839775075</v>
      </c>
      <c r="DT133" s="105">
        <f t="shared" si="236"/>
        <v>1.1180992313067684</v>
      </c>
      <c r="DU133" s="99">
        <f t="shared" si="236"/>
        <v>1.2587412587412583</v>
      </c>
      <c r="DV133" s="99">
        <f t="shared" si="236"/>
        <v>1.3986013986013957</v>
      </c>
      <c r="DW133" s="99">
        <f t="shared" si="236"/>
        <v>1.324965132496514</v>
      </c>
      <c r="DX133" s="99">
        <f t="shared" si="236"/>
        <v>1.1838440111420656</v>
      </c>
      <c r="DY133" s="99">
        <f t="shared" si="236"/>
        <v>1.3937282229965264</v>
      </c>
      <c r="DZ133" s="99">
        <f t="shared" si="236"/>
        <v>2.0847810979847115</v>
      </c>
      <c r="EA133" s="99">
        <f t="shared" si="236"/>
        <v>2.0847810979847115</v>
      </c>
      <c r="EB133" s="99">
        <f t="shared" si="236"/>
        <v>2.086230876216977</v>
      </c>
      <c r="EC133" s="99">
        <f t="shared" si="236"/>
        <v>1.799307958477514</v>
      </c>
      <c r="ED133" s="99">
        <f t="shared" si="236"/>
        <v>2.083333333333326</v>
      </c>
      <c r="EE133" s="116">
        <f t="shared" si="236"/>
        <v>1.7980636237897585</v>
      </c>
      <c r="EF133" s="99">
        <f t="shared" si="236"/>
        <v>1.7968210089841286</v>
      </c>
      <c r="EG133" s="113">
        <f t="shared" si="236"/>
        <v>1.7955801104972302</v>
      </c>
      <c r="EH133" s="113">
        <f t="shared" si="236"/>
        <v>1.586206896551734</v>
      </c>
      <c r="EI133" s="109">
        <f t="shared" si="236"/>
        <v>1.6517549896765127</v>
      </c>
      <c r="EJ133" s="109">
        <f aca="true" t="shared" si="237" ref="EJ133:EQ133">((EJ6/DX6)-1)*100</f>
        <v>1.789401238816235</v>
      </c>
      <c r="EK133" s="113">
        <f t="shared" si="237"/>
        <v>2.0618556701030855</v>
      </c>
      <c r="EL133" s="109">
        <f t="shared" si="237"/>
        <v>1.3614703880190593</v>
      </c>
      <c r="EM133" s="109">
        <f t="shared" si="237"/>
        <v>1.8379850238257278</v>
      </c>
      <c r="EN133" s="109">
        <f t="shared" si="237"/>
        <v>1.7029972752043543</v>
      </c>
      <c r="EO133" s="109">
        <f t="shared" si="237"/>
        <v>1.5635622025832907</v>
      </c>
      <c r="EP133" s="109">
        <f t="shared" si="237"/>
        <v>1.4965986394557707</v>
      </c>
      <c r="EQ133" s="141">
        <f t="shared" si="237"/>
        <v>1.4266304347826164</v>
      </c>
      <c r="ER133" s="138"/>
      <c r="ES133" s="113"/>
      <c r="ET133" s="113"/>
      <c r="EU133" s="113"/>
      <c r="EV133" s="113"/>
      <c r="EW133" s="113"/>
      <c r="EX133" s="113"/>
      <c r="EY133" s="113"/>
      <c r="EZ133" s="113"/>
      <c r="FA133" s="113"/>
      <c r="FB133" s="113"/>
      <c r="FC133" s="137"/>
      <c r="FD133" s="293"/>
      <c r="FE133" s="293"/>
      <c r="FF133" s="293"/>
      <c r="FG133" s="293"/>
      <c r="FH133" s="293"/>
      <c r="FI133" s="293"/>
      <c r="FJ133" s="293"/>
      <c r="FK133" s="137"/>
      <c r="FL133" s="138"/>
      <c r="FM133" s="138"/>
      <c r="FN133" s="138"/>
      <c r="FO133" s="293"/>
      <c r="FP133" s="137"/>
      <c r="FQ133" s="138"/>
      <c r="FR133" s="293"/>
      <c r="FS133" s="293"/>
      <c r="FT133" s="293"/>
      <c r="FU133" s="293"/>
      <c r="FV133" s="113"/>
      <c r="FW133" s="293"/>
      <c r="FX133" s="293"/>
      <c r="FY133" s="113"/>
      <c r="FZ133" s="138"/>
      <c r="GA133" s="138"/>
      <c r="GB133" s="138"/>
      <c r="GC133" s="138"/>
      <c r="GD133" s="293"/>
    </row>
    <row r="134" spans="1:186" ht="15" customHeight="1">
      <c r="A134" s="3"/>
      <c r="B134" s="117" t="s">
        <v>109</v>
      </c>
      <c r="C134" s="19"/>
      <c r="D134" s="35"/>
      <c r="E134" s="36"/>
      <c r="F134" s="36"/>
      <c r="G134" s="36"/>
      <c r="H134" s="36"/>
      <c r="I134" s="36"/>
      <c r="J134" s="36"/>
      <c r="K134" s="36"/>
      <c r="L134" s="25"/>
      <c r="M134" s="25"/>
      <c r="N134" s="25"/>
      <c r="O134" s="37"/>
      <c r="P134" s="38"/>
      <c r="Q134" s="25"/>
      <c r="R134" s="25"/>
      <c r="S134" s="25"/>
      <c r="T134" s="25"/>
      <c r="U134" s="25"/>
      <c r="V134" s="25"/>
      <c r="W134" s="25"/>
      <c r="X134" s="25"/>
      <c r="Y134" s="25"/>
      <c r="Z134" s="25"/>
      <c r="AA134" s="37"/>
      <c r="AB134" s="35"/>
      <c r="AC134" s="36"/>
      <c r="AD134" s="36"/>
      <c r="AE134" s="36"/>
      <c r="AF134" s="36"/>
      <c r="AG134" s="36"/>
      <c r="AH134" s="36"/>
      <c r="AI134" s="36"/>
      <c r="AJ134" s="36"/>
      <c r="AK134" s="36"/>
      <c r="AL134" s="36"/>
      <c r="AM134" s="37"/>
      <c r="AN134" s="26"/>
      <c r="AO134" s="26"/>
      <c r="AP134" s="26"/>
      <c r="AQ134" s="26"/>
      <c r="AR134" s="26"/>
      <c r="AS134" s="26"/>
      <c r="AT134" s="26"/>
      <c r="AU134" s="26"/>
      <c r="AV134" s="26"/>
      <c r="AW134" s="27"/>
      <c r="AX134" s="26"/>
      <c r="AY134" s="204"/>
      <c r="AZ134" s="26"/>
      <c r="BA134" s="27"/>
      <c r="BB134" s="26"/>
      <c r="BC134" s="27"/>
      <c r="BD134" s="3"/>
      <c r="BE134" s="3"/>
      <c r="BF134" s="3"/>
      <c r="BG134" s="3"/>
      <c r="BH134" s="3"/>
      <c r="BI134" s="3"/>
      <c r="BJ134" s="3"/>
      <c r="BK134" s="189"/>
      <c r="BL134" s="190"/>
      <c r="BM134" s="3"/>
      <c r="BN134" s="3"/>
      <c r="BO134" s="3"/>
      <c r="BP134" s="3"/>
      <c r="BQ134" s="3"/>
      <c r="BR134" s="3"/>
      <c r="BS134" s="3"/>
      <c r="BT134" s="3"/>
      <c r="BU134" s="3"/>
      <c r="BV134" s="3"/>
      <c r="BW134" s="189"/>
      <c r="BX134" s="195"/>
      <c r="BY134" s="27"/>
      <c r="BZ134" s="27"/>
      <c r="CA134" s="27"/>
      <c r="CB134" s="27"/>
      <c r="CC134" s="27"/>
      <c r="CD134" s="27"/>
      <c r="CE134" s="27"/>
      <c r="CF134" s="27"/>
      <c r="CG134" s="27"/>
      <c r="CH134" s="27"/>
      <c r="CI134" s="194"/>
      <c r="CJ134" s="195"/>
      <c r="CK134" s="27"/>
      <c r="CL134" s="27"/>
      <c r="CM134" s="27"/>
      <c r="CN134" s="27"/>
      <c r="CO134" s="27"/>
      <c r="CP134" s="27"/>
      <c r="CQ134" s="27"/>
      <c r="CR134" s="27"/>
      <c r="CS134" s="27"/>
      <c r="CT134" s="27"/>
      <c r="CU134" s="194"/>
      <c r="CV134" s="207"/>
      <c r="CW134" s="207"/>
      <c r="CX134" s="207"/>
      <c r="CY134" s="207"/>
      <c r="CZ134" s="207"/>
      <c r="DA134" s="207"/>
      <c r="DB134" s="207"/>
      <c r="DC134" s="207"/>
      <c r="DD134" s="208"/>
      <c r="DE134" s="208"/>
      <c r="DF134" s="208"/>
      <c r="DG134" s="209"/>
      <c r="DH134" s="120"/>
      <c r="DI134" s="121"/>
      <c r="DJ134" s="99"/>
      <c r="DK134" s="99"/>
      <c r="DL134" s="99"/>
      <c r="DM134" s="99"/>
      <c r="DN134" s="99"/>
      <c r="DO134" s="99"/>
      <c r="DP134" s="99"/>
      <c r="DQ134" s="99"/>
      <c r="DR134" s="99"/>
      <c r="DS134" s="116"/>
      <c r="DT134" s="105"/>
      <c r="DU134" s="99"/>
      <c r="DV134" s="99"/>
      <c r="DW134" s="99"/>
      <c r="DX134" s="99"/>
      <c r="DY134" s="99"/>
      <c r="DZ134" s="99"/>
      <c r="EA134" s="99"/>
      <c r="EB134" s="99"/>
      <c r="EC134" s="99"/>
      <c r="ED134" s="99"/>
      <c r="EE134" s="116"/>
      <c r="EF134" s="113"/>
      <c r="EG134" s="113">
        <f aca="true" t="shared" si="238" ref="EG134:EQ134">(EG8/EF8)*100-100</f>
        <v>-4.112149532710291</v>
      </c>
      <c r="EH134" s="113">
        <f t="shared" si="238"/>
        <v>-0.8771929824561369</v>
      </c>
      <c r="EI134" s="113">
        <f t="shared" si="238"/>
        <v>0.19665683382497434</v>
      </c>
      <c r="EJ134" s="113">
        <f t="shared" si="238"/>
        <v>-0.6869479882237499</v>
      </c>
      <c r="EK134" s="113">
        <f t="shared" si="238"/>
        <v>1.778656126482204</v>
      </c>
      <c r="EL134" s="113">
        <f t="shared" si="238"/>
        <v>-0.19417475728154443</v>
      </c>
      <c r="EM134" s="113">
        <f t="shared" si="238"/>
        <v>0.2918287937743145</v>
      </c>
      <c r="EN134" s="113">
        <f t="shared" si="238"/>
        <v>0.29097963142581307</v>
      </c>
      <c r="EO134" s="113">
        <f t="shared" si="238"/>
        <v>-0.19342359767891537</v>
      </c>
      <c r="EP134" s="113">
        <f t="shared" si="238"/>
        <v>0.09689922480620794</v>
      </c>
      <c r="EQ134" s="137">
        <f t="shared" si="238"/>
        <v>-0.09680542110356782</v>
      </c>
      <c r="ER134" s="138">
        <f aca="true" t="shared" si="239" ref="ER134:FZ134">(ER7/EQ7)*100-100</f>
        <v>0.2870813397129126</v>
      </c>
      <c r="ES134" s="113">
        <f t="shared" si="239"/>
        <v>0.09541984732825881</v>
      </c>
      <c r="ET134" s="113">
        <f t="shared" si="239"/>
        <v>-0.6673021925643496</v>
      </c>
      <c r="EU134" s="113">
        <f t="shared" si="239"/>
        <v>-0.09596928982725217</v>
      </c>
      <c r="EV134" s="113">
        <f t="shared" si="239"/>
        <v>-0.28818443804034644</v>
      </c>
      <c r="EW134" s="113">
        <f t="shared" si="239"/>
        <v>-0.28901734104046284</v>
      </c>
      <c r="EX134" s="113">
        <f t="shared" si="239"/>
        <v>0.09661835748791248</v>
      </c>
      <c r="EY134" s="113">
        <f t="shared" si="239"/>
        <v>0.7722007722007902</v>
      </c>
      <c r="EZ134" s="113">
        <f t="shared" si="239"/>
        <v>0.19157088122602772</v>
      </c>
      <c r="FA134" s="113">
        <f t="shared" si="239"/>
        <v>-0.28680688336520177</v>
      </c>
      <c r="FB134" s="113">
        <f t="shared" si="239"/>
        <v>-0.6711409395973078</v>
      </c>
      <c r="FC134" s="137">
        <f t="shared" si="239"/>
        <v>0.19305019305019755</v>
      </c>
      <c r="FD134" s="293">
        <f t="shared" si="239"/>
        <v>0.09633911368015902</v>
      </c>
      <c r="FE134" s="293">
        <f t="shared" si="239"/>
        <v>0.19249278152069849</v>
      </c>
      <c r="FF134" s="293">
        <f t="shared" si="239"/>
        <v>0.3842459173871333</v>
      </c>
      <c r="FG134" s="294">
        <f t="shared" si="239"/>
        <v>0.5741626794258252</v>
      </c>
      <c r="FH134" s="294">
        <f t="shared" si="239"/>
        <v>-1.14176974310179</v>
      </c>
      <c r="FI134" s="294">
        <f t="shared" si="239"/>
        <v>-0.4812319538017249</v>
      </c>
      <c r="FJ134" s="294">
        <f t="shared" si="239"/>
        <v>0.8704061895551121</v>
      </c>
      <c r="FK134" s="294">
        <f t="shared" si="239"/>
        <v>0.2876318312559931</v>
      </c>
      <c r="FL134" s="293">
        <f t="shared" si="239"/>
        <v>0.3824091778202643</v>
      </c>
      <c r="FM134" s="138">
        <f t="shared" si="239"/>
        <v>-0.5714285714285694</v>
      </c>
      <c r="FN134" s="138">
        <f t="shared" si="239"/>
        <v>-0.09578544061304228</v>
      </c>
      <c r="FO134" s="293">
        <f t="shared" si="239"/>
        <v>0.2876318312559931</v>
      </c>
      <c r="FP134" s="293">
        <f t="shared" si="239"/>
        <v>-0.28680688336520177</v>
      </c>
      <c r="FQ134" s="293">
        <f t="shared" si="239"/>
        <v>-0.2876318312559789</v>
      </c>
      <c r="FR134" s="293">
        <f t="shared" si="239"/>
        <v>-0.288461538461533</v>
      </c>
      <c r="FS134" s="293">
        <f t="shared" si="239"/>
        <v>0</v>
      </c>
      <c r="FT134" s="293">
        <f t="shared" si="239"/>
        <v>0.8678881388620994</v>
      </c>
      <c r="FU134" s="293">
        <f t="shared" si="239"/>
        <v>0.5736137667304178</v>
      </c>
      <c r="FV134" s="138">
        <f t="shared" si="239"/>
        <v>0.6653992395437172</v>
      </c>
      <c r="FW134" s="293">
        <f t="shared" si="239"/>
        <v>-1.0387157695939635</v>
      </c>
      <c r="FX134" s="293">
        <f t="shared" si="239"/>
        <v>0.2862595419847338</v>
      </c>
      <c r="FY134" s="138">
        <f t="shared" si="239"/>
        <v>0.475737392959104</v>
      </c>
      <c r="FZ134" s="138">
        <f t="shared" si="239"/>
        <v>-0.4734848484848442</v>
      </c>
      <c r="GA134" s="138">
        <f>(GA7/FZ7)*100-100</f>
        <v>-0.5708848715509021</v>
      </c>
      <c r="GB134" s="138">
        <f>(GB7/GA7)*100-100</f>
        <v>0.38277511961723576</v>
      </c>
      <c r="GC134" s="138">
        <f>(GC7/GB7)*100-100</f>
        <v>-0.4766444232602538</v>
      </c>
      <c r="GD134" s="293"/>
    </row>
    <row r="135" spans="1:186" ht="15" customHeight="1">
      <c r="A135" s="3"/>
      <c r="B135" s="117" t="s">
        <v>110</v>
      </c>
      <c r="C135" s="19"/>
      <c r="D135" s="35"/>
      <c r="E135" s="36"/>
      <c r="F135" s="36"/>
      <c r="G135" s="36"/>
      <c r="H135" s="36"/>
      <c r="I135" s="36"/>
      <c r="J135" s="36"/>
      <c r="K135" s="36"/>
      <c r="L135" s="25"/>
      <c r="M135" s="25"/>
      <c r="N135" s="25"/>
      <c r="O135" s="37"/>
      <c r="P135" s="38"/>
      <c r="Q135" s="25"/>
      <c r="R135" s="25"/>
      <c r="S135" s="25"/>
      <c r="T135" s="25"/>
      <c r="U135" s="25"/>
      <c r="V135" s="25"/>
      <c r="W135" s="25"/>
      <c r="X135" s="25"/>
      <c r="Y135" s="25"/>
      <c r="Z135" s="25"/>
      <c r="AA135" s="37"/>
      <c r="AB135" s="35"/>
      <c r="AC135" s="36"/>
      <c r="AD135" s="36"/>
      <c r="AE135" s="36"/>
      <c r="AF135" s="36"/>
      <c r="AG135" s="36"/>
      <c r="AH135" s="36"/>
      <c r="AI135" s="36"/>
      <c r="AJ135" s="36"/>
      <c r="AK135" s="36"/>
      <c r="AL135" s="36"/>
      <c r="AM135" s="37"/>
      <c r="AN135" s="26"/>
      <c r="AO135" s="26"/>
      <c r="AP135" s="26"/>
      <c r="AQ135" s="26"/>
      <c r="AR135" s="26"/>
      <c r="AS135" s="26"/>
      <c r="AT135" s="26"/>
      <c r="AU135" s="26"/>
      <c r="AV135" s="26"/>
      <c r="AW135" s="27"/>
      <c r="AX135" s="26"/>
      <c r="AY135" s="204"/>
      <c r="AZ135" s="26"/>
      <c r="BA135" s="27"/>
      <c r="BB135" s="26"/>
      <c r="BC135" s="27"/>
      <c r="BD135" s="3"/>
      <c r="BE135" s="3"/>
      <c r="BF135" s="3"/>
      <c r="BG135" s="3"/>
      <c r="BH135" s="3"/>
      <c r="BI135" s="3"/>
      <c r="BJ135" s="3"/>
      <c r="BK135" s="189"/>
      <c r="BL135" s="190"/>
      <c r="BM135" s="3"/>
      <c r="BN135" s="3"/>
      <c r="BO135" s="3"/>
      <c r="BP135" s="3"/>
      <c r="BQ135" s="3"/>
      <c r="BR135" s="3"/>
      <c r="BS135" s="3"/>
      <c r="BT135" s="3"/>
      <c r="BU135" s="3"/>
      <c r="BV135" s="3"/>
      <c r="BW135" s="189"/>
      <c r="BX135" s="195"/>
      <c r="BY135" s="27"/>
      <c r="BZ135" s="27"/>
      <c r="CA135" s="27"/>
      <c r="CB135" s="27"/>
      <c r="CC135" s="27"/>
      <c r="CD135" s="27"/>
      <c r="CE135" s="27"/>
      <c r="CF135" s="27"/>
      <c r="CG135" s="27"/>
      <c r="CH135" s="27"/>
      <c r="CI135" s="194"/>
      <c r="CJ135" s="195"/>
      <c r="CK135" s="27"/>
      <c r="CL135" s="27"/>
      <c r="CM135" s="27"/>
      <c r="CN135" s="27"/>
      <c r="CO135" s="27"/>
      <c r="CP135" s="27"/>
      <c r="CQ135" s="27"/>
      <c r="CR135" s="27"/>
      <c r="CS135" s="27"/>
      <c r="CT135" s="27"/>
      <c r="CU135" s="194"/>
      <c r="CV135" s="207"/>
      <c r="CW135" s="207"/>
      <c r="CX135" s="207"/>
      <c r="CY135" s="207"/>
      <c r="CZ135" s="207"/>
      <c r="DA135" s="207"/>
      <c r="DB135" s="207"/>
      <c r="DC135" s="207"/>
      <c r="DD135" s="208"/>
      <c r="DE135" s="208"/>
      <c r="DF135" s="208"/>
      <c r="DG135" s="209"/>
      <c r="DH135" s="120"/>
      <c r="DI135" s="121"/>
      <c r="DJ135" s="99"/>
      <c r="DK135" s="99"/>
      <c r="DL135" s="99"/>
      <c r="DM135" s="99"/>
      <c r="DN135" s="99"/>
      <c r="DO135" s="99"/>
      <c r="DP135" s="99"/>
      <c r="DQ135" s="99"/>
      <c r="DR135" s="99"/>
      <c r="DS135" s="116"/>
      <c r="DT135" s="105"/>
      <c r="DU135" s="99"/>
      <c r="DV135" s="99"/>
      <c r="DW135" s="99"/>
      <c r="DX135" s="99"/>
      <c r="DY135" s="99"/>
      <c r="DZ135" s="99"/>
      <c r="EA135" s="99"/>
      <c r="EB135" s="99"/>
      <c r="EC135" s="99"/>
      <c r="ED135" s="99"/>
      <c r="EE135" s="116"/>
      <c r="EF135" s="99"/>
      <c r="EG135" s="113"/>
      <c r="EH135" s="113"/>
      <c r="EI135" s="109"/>
      <c r="EJ135" s="109"/>
      <c r="EK135" s="113"/>
      <c r="EL135" s="109"/>
      <c r="EM135" s="109"/>
      <c r="EN135" s="109"/>
      <c r="EO135" s="109"/>
      <c r="EP135" s="109"/>
      <c r="EQ135" s="141"/>
      <c r="ER135" s="229">
        <f aca="true" t="shared" si="240" ref="ER135:GA135">(POWER(ER7/EF7,1)-1)*100</f>
        <v>-0.9451795841209809</v>
      </c>
      <c r="ES135" s="230">
        <f t="shared" si="240"/>
        <v>1.5488867376573179</v>
      </c>
      <c r="ET135" s="230">
        <f t="shared" si="240"/>
        <v>1.7578125</v>
      </c>
      <c r="EU135" s="230">
        <f t="shared" si="240"/>
        <v>2.0588235294117574</v>
      </c>
      <c r="EV135" s="230">
        <f t="shared" si="240"/>
        <v>2.4679170779861703</v>
      </c>
      <c r="EW135" s="230">
        <f t="shared" si="240"/>
        <v>0.09671179883945502</v>
      </c>
      <c r="EX135" s="230">
        <f t="shared" si="240"/>
        <v>-0.38461538461539435</v>
      </c>
      <c r="EY135" s="230">
        <f t="shared" si="240"/>
        <v>0.19193857965451588</v>
      </c>
      <c r="EZ135" s="230">
        <f t="shared" si="240"/>
        <v>0.2876318312559967</v>
      </c>
      <c r="FA135" s="230">
        <f t="shared" si="240"/>
        <v>0.19212295869357465</v>
      </c>
      <c r="FB135" s="230">
        <f t="shared" si="240"/>
        <v>-0.9560229445506718</v>
      </c>
      <c r="FC135" s="233">
        <f t="shared" si="240"/>
        <v>-0.6698564593301426</v>
      </c>
      <c r="FD135" s="294">
        <f t="shared" si="240"/>
        <v>-0.858778625954193</v>
      </c>
      <c r="FE135" s="294">
        <f t="shared" si="240"/>
        <v>-0.7626310772164024</v>
      </c>
      <c r="FF135" s="294">
        <f t="shared" si="240"/>
        <v>0.2879078694817627</v>
      </c>
      <c r="FG135" s="294">
        <f t="shared" si="240"/>
        <v>0.9606147934678289</v>
      </c>
      <c r="FH135" s="293">
        <f t="shared" si="240"/>
        <v>0.09633911368016612</v>
      </c>
      <c r="FI135" s="293">
        <f t="shared" si="240"/>
        <v>-0.09661835748792091</v>
      </c>
      <c r="FJ135" s="294">
        <f t="shared" si="240"/>
        <v>0.6756756756756799</v>
      </c>
      <c r="FK135" s="293">
        <f t="shared" si="240"/>
        <v>0.19157088122603305</v>
      </c>
      <c r="FL135" s="293">
        <f t="shared" si="240"/>
        <v>0.3824091778202643</v>
      </c>
      <c r="FM135" s="138">
        <f t="shared" si="240"/>
        <v>0.09587727708533222</v>
      </c>
      <c r="FN135" s="138">
        <f t="shared" si="240"/>
        <v>0.6756756756756799</v>
      </c>
      <c r="FO135" s="293">
        <f t="shared" si="240"/>
        <v>0.7707129094412402</v>
      </c>
      <c r="FP135" s="293">
        <f t="shared" si="240"/>
        <v>0.38498556304138454</v>
      </c>
      <c r="FQ135" s="293">
        <f t="shared" si="240"/>
        <v>-0.09606147934677622</v>
      </c>
      <c r="FR135" s="293">
        <f t="shared" si="240"/>
        <v>-0.7655502392344471</v>
      </c>
      <c r="FS135" s="293">
        <f t="shared" si="240"/>
        <v>-1.3320647002854291</v>
      </c>
      <c r="FT135" s="293">
        <f t="shared" si="240"/>
        <v>0.6737247353224118</v>
      </c>
      <c r="FU135" s="293">
        <f t="shared" si="240"/>
        <v>1.740812379110257</v>
      </c>
      <c r="FV135" s="138">
        <f t="shared" si="240"/>
        <v>1.5340364333652934</v>
      </c>
      <c r="FW135" s="293">
        <f t="shared" si="240"/>
        <v>0.19120458891013214</v>
      </c>
      <c r="FX135" s="293">
        <f t="shared" si="240"/>
        <v>0.09523809523808158</v>
      </c>
      <c r="FY135" s="138">
        <f t="shared" si="240"/>
        <v>1.1494252873563093</v>
      </c>
      <c r="FZ135" s="138">
        <f t="shared" si="240"/>
        <v>0.7670182166826356</v>
      </c>
      <c r="GA135" s="138">
        <f t="shared" si="240"/>
        <v>-0.09560229445506607</v>
      </c>
      <c r="GB135" s="138">
        <f>(POWER(GB7/FP7,1)-1)*100</f>
        <v>0.5752636625119933</v>
      </c>
      <c r="GC135" s="138">
        <f>(POWER(GC7/FQ7,1)-1)*100</f>
        <v>0.38461538461538325</v>
      </c>
      <c r="GD135" s="293"/>
    </row>
    <row r="136" spans="1:186" ht="15" customHeight="1">
      <c r="A136" s="3"/>
      <c r="B136" s="117" t="s">
        <v>111</v>
      </c>
      <c r="C136" s="19"/>
      <c r="D136" s="35"/>
      <c r="E136" s="36"/>
      <c r="F136" s="36"/>
      <c r="G136" s="36"/>
      <c r="H136" s="36"/>
      <c r="I136" s="36"/>
      <c r="J136" s="36"/>
      <c r="K136" s="36"/>
      <c r="L136" s="25"/>
      <c r="M136" s="25"/>
      <c r="N136" s="25"/>
      <c r="O136" s="37"/>
      <c r="P136" s="38"/>
      <c r="Q136" s="25"/>
      <c r="R136" s="25"/>
      <c r="S136" s="25"/>
      <c r="T136" s="25"/>
      <c r="U136" s="25"/>
      <c r="V136" s="25"/>
      <c r="W136" s="25"/>
      <c r="X136" s="25"/>
      <c r="Y136" s="25"/>
      <c r="Z136" s="25"/>
      <c r="AA136" s="37"/>
      <c r="AB136" s="35"/>
      <c r="AC136" s="36"/>
      <c r="AD136" s="36"/>
      <c r="AE136" s="36"/>
      <c r="AF136" s="36"/>
      <c r="AG136" s="36"/>
      <c r="AH136" s="36"/>
      <c r="AI136" s="36"/>
      <c r="AJ136" s="36"/>
      <c r="AK136" s="36"/>
      <c r="AL136" s="36"/>
      <c r="AM136" s="37"/>
      <c r="AN136" s="26"/>
      <c r="AO136" s="26"/>
      <c r="AP136" s="26"/>
      <c r="AQ136" s="26"/>
      <c r="AR136" s="26"/>
      <c r="AS136" s="26"/>
      <c r="AT136" s="26"/>
      <c r="AU136" s="26"/>
      <c r="AV136" s="26"/>
      <c r="AW136" s="27"/>
      <c r="AX136" s="26"/>
      <c r="AY136" s="204"/>
      <c r="AZ136" s="26"/>
      <c r="BA136" s="27"/>
      <c r="BB136" s="26"/>
      <c r="BC136" s="27"/>
      <c r="BD136" s="3"/>
      <c r="BE136" s="3"/>
      <c r="BF136" s="3"/>
      <c r="BG136" s="3"/>
      <c r="BH136" s="3"/>
      <c r="BI136" s="3"/>
      <c r="BJ136" s="3"/>
      <c r="BK136" s="189"/>
      <c r="BL136" s="190"/>
      <c r="BM136" s="3"/>
      <c r="BN136" s="3"/>
      <c r="BO136" s="3"/>
      <c r="BP136" s="3"/>
      <c r="BQ136" s="3"/>
      <c r="BR136" s="3"/>
      <c r="BS136" s="3"/>
      <c r="BT136" s="3"/>
      <c r="BU136" s="3"/>
      <c r="BV136" s="3"/>
      <c r="BW136" s="189"/>
      <c r="BX136" s="195"/>
      <c r="BY136" s="27"/>
      <c r="BZ136" s="27"/>
      <c r="CA136" s="27"/>
      <c r="CB136" s="27"/>
      <c r="CC136" s="27"/>
      <c r="CD136" s="27"/>
      <c r="CE136" s="27"/>
      <c r="CF136" s="27"/>
      <c r="CG136" s="27"/>
      <c r="CH136" s="27"/>
      <c r="CI136" s="194"/>
      <c r="CJ136" s="195"/>
      <c r="CK136" s="27"/>
      <c r="CL136" s="27"/>
      <c r="CM136" s="27"/>
      <c r="CN136" s="27"/>
      <c r="CO136" s="27"/>
      <c r="CP136" s="27"/>
      <c r="CQ136" s="27"/>
      <c r="CR136" s="27"/>
      <c r="CS136" s="27"/>
      <c r="CT136" s="27"/>
      <c r="CU136" s="194"/>
      <c r="CV136" s="207"/>
      <c r="CW136" s="207"/>
      <c r="CX136" s="207"/>
      <c r="CY136" s="207"/>
      <c r="CZ136" s="207"/>
      <c r="DA136" s="207"/>
      <c r="DB136" s="207"/>
      <c r="DC136" s="207"/>
      <c r="DD136" s="208"/>
      <c r="DE136" s="208"/>
      <c r="DF136" s="208"/>
      <c r="DG136" s="209"/>
      <c r="DH136" s="120"/>
      <c r="DI136" s="121"/>
      <c r="DJ136" s="99"/>
      <c r="DK136" s="99"/>
      <c r="DL136" s="99"/>
      <c r="DM136" s="99"/>
      <c r="DN136" s="99"/>
      <c r="DO136" s="99"/>
      <c r="DP136" s="99"/>
      <c r="DQ136" s="99"/>
      <c r="DR136" s="99"/>
      <c r="DS136" s="116"/>
      <c r="DT136" s="105"/>
      <c r="DU136" s="99"/>
      <c r="DV136" s="99"/>
      <c r="DW136" s="99"/>
      <c r="DX136" s="99"/>
      <c r="DY136" s="99"/>
      <c r="DZ136" s="99"/>
      <c r="EA136" s="99"/>
      <c r="EB136" s="99"/>
      <c r="EC136" s="99"/>
      <c r="ED136" s="99"/>
      <c r="EE136" s="116"/>
      <c r="EF136" s="99"/>
      <c r="EG136" s="113"/>
      <c r="EH136" s="113"/>
      <c r="EI136" s="109"/>
      <c r="EJ136" s="109"/>
      <c r="EK136" s="113"/>
      <c r="EL136" s="109"/>
      <c r="EM136" s="109"/>
      <c r="EN136" s="109"/>
      <c r="EO136" s="109"/>
      <c r="EP136" s="109"/>
      <c r="EQ136" s="141"/>
      <c r="ER136" s="229">
        <f aca="true" t="shared" si="241" ref="ER136:GA136">((ER8/EF8)-1)*100</f>
        <v>-2.0560747663551426</v>
      </c>
      <c r="ES136" s="230">
        <f t="shared" si="241"/>
        <v>2.2417153996101558</v>
      </c>
      <c r="ET136" s="230">
        <f t="shared" si="241"/>
        <v>2.5565388397246647</v>
      </c>
      <c r="EU136" s="230">
        <f t="shared" si="241"/>
        <v>1.8645731108930308</v>
      </c>
      <c r="EV136" s="230">
        <f t="shared" si="241"/>
        <v>2.964426877470361</v>
      </c>
      <c r="EW136" s="230">
        <f t="shared" si="241"/>
        <v>1.3592233009708687</v>
      </c>
      <c r="EX136" s="230">
        <f t="shared" si="241"/>
        <v>1.7509727626459082</v>
      </c>
      <c r="EY136" s="230">
        <f t="shared" si="241"/>
        <v>1.8428709990300662</v>
      </c>
      <c r="EZ136" s="230">
        <f t="shared" si="241"/>
        <v>1.5473887814313247</v>
      </c>
      <c r="FA136" s="230">
        <f t="shared" si="241"/>
        <v>1.2596899224806224</v>
      </c>
      <c r="FB136" s="230">
        <f t="shared" si="241"/>
        <v>0.6776379477250849</v>
      </c>
      <c r="FC136" s="233">
        <f t="shared" si="241"/>
        <v>1.6472868217054293</v>
      </c>
      <c r="FD136" s="294">
        <f t="shared" si="241"/>
        <v>-0.2862595419847347</v>
      </c>
      <c r="FE136" s="294">
        <f t="shared" si="241"/>
        <v>0.6673021925643452</v>
      </c>
      <c r="FF136" s="294">
        <f t="shared" si="241"/>
        <v>-0.09587727708532112</v>
      </c>
      <c r="FG136" s="294">
        <f t="shared" si="241"/>
        <v>0.19267822736031004</v>
      </c>
      <c r="FH136" s="293">
        <f t="shared" si="241"/>
        <v>0.19193857965451588</v>
      </c>
      <c r="FI136" s="293">
        <f t="shared" si="241"/>
        <v>0.2873563218390718</v>
      </c>
      <c r="FJ136" s="294">
        <f t="shared" si="241"/>
        <v>0.47801147227533036</v>
      </c>
      <c r="FK136" s="293">
        <f t="shared" si="241"/>
        <v>1.1428571428571566</v>
      </c>
      <c r="FL136" s="293">
        <f t="shared" si="241"/>
        <v>1.333333333333342</v>
      </c>
      <c r="FM136" s="138">
        <f t="shared" si="241"/>
        <v>1.1483253588516762</v>
      </c>
      <c r="FN136" s="138">
        <f t="shared" si="241"/>
        <v>1.1538461538461497</v>
      </c>
      <c r="FO136" s="293">
        <f t="shared" si="241"/>
        <v>0.19065776930409228</v>
      </c>
      <c r="FP136" s="293">
        <f t="shared" si="241"/>
        <v>0.6698564593301537</v>
      </c>
      <c r="FQ136" s="293">
        <f t="shared" si="241"/>
        <v>-0.7575757575757569</v>
      </c>
      <c r="FR136" s="293">
        <f t="shared" si="241"/>
        <v>0.2879078694817627</v>
      </c>
      <c r="FS136" s="293">
        <f t="shared" si="241"/>
        <v>0.28846153846153744</v>
      </c>
      <c r="FT136" s="293">
        <f t="shared" si="241"/>
        <v>0.8620689655172376</v>
      </c>
      <c r="FU136" s="293">
        <f t="shared" si="241"/>
        <v>1.241642788920716</v>
      </c>
      <c r="FV136" s="138">
        <f t="shared" si="241"/>
        <v>1.3320647002854402</v>
      </c>
      <c r="FW136" s="293">
        <f t="shared" si="241"/>
        <v>-0.37664783427495685</v>
      </c>
      <c r="FX136" s="293">
        <f t="shared" si="241"/>
        <v>-0.6578947368421129</v>
      </c>
      <c r="FY136" s="138">
        <f t="shared" si="241"/>
        <v>-0.37842951750236553</v>
      </c>
      <c r="FZ136" s="138">
        <f t="shared" si="241"/>
        <v>-0.09505703422053591</v>
      </c>
      <c r="GA136" s="138">
        <f t="shared" si="241"/>
        <v>-0.2854424357754515</v>
      </c>
      <c r="GB136" s="138">
        <f>((GB8/FP8)-1)*100</f>
        <v>0</v>
      </c>
      <c r="GC136" s="138">
        <f>((GC8/FQ8)-1)*100</f>
        <v>0.2862595419847347</v>
      </c>
      <c r="GD136" s="293"/>
    </row>
    <row r="137" spans="1:186" ht="15" customHeight="1">
      <c r="A137" s="3"/>
      <c r="B137" s="117"/>
      <c r="C137" s="19"/>
      <c r="D137" s="35"/>
      <c r="E137" s="36"/>
      <c r="F137" s="36"/>
      <c r="G137" s="36"/>
      <c r="H137" s="36"/>
      <c r="I137" s="36"/>
      <c r="J137" s="36"/>
      <c r="K137" s="36"/>
      <c r="L137" s="25"/>
      <c r="M137" s="25"/>
      <c r="N137" s="25"/>
      <c r="O137" s="37"/>
      <c r="P137" s="38"/>
      <c r="Q137" s="25"/>
      <c r="R137" s="25"/>
      <c r="S137" s="25"/>
      <c r="T137" s="25"/>
      <c r="U137" s="25"/>
      <c r="V137" s="25"/>
      <c r="W137" s="25"/>
      <c r="X137" s="25"/>
      <c r="Y137" s="25"/>
      <c r="Z137" s="25"/>
      <c r="AA137" s="37"/>
      <c r="AB137" s="35"/>
      <c r="AC137" s="36"/>
      <c r="AD137" s="36"/>
      <c r="AE137" s="36"/>
      <c r="AF137" s="36"/>
      <c r="AG137" s="36"/>
      <c r="AH137" s="36"/>
      <c r="AI137" s="36"/>
      <c r="AJ137" s="36"/>
      <c r="AK137" s="36"/>
      <c r="AL137" s="36"/>
      <c r="AM137" s="37"/>
      <c r="AN137" s="26"/>
      <c r="AO137" s="26"/>
      <c r="AP137" s="26"/>
      <c r="AQ137" s="26"/>
      <c r="AR137" s="26"/>
      <c r="AS137" s="26"/>
      <c r="AT137" s="26"/>
      <c r="AU137" s="26"/>
      <c r="AV137" s="26"/>
      <c r="AW137" s="27"/>
      <c r="AX137" s="26"/>
      <c r="AY137" s="204"/>
      <c r="AZ137" s="26"/>
      <c r="BA137" s="27"/>
      <c r="BB137" s="26"/>
      <c r="BC137" s="27"/>
      <c r="BD137" s="3"/>
      <c r="BE137" s="3"/>
      <c r="BF137" s="3"/>
      <c r="BG137" s="3"/>
      <c r="BH137" s="3"/>
      <c r="BI137" s="3"/>
      <c r="BJ137" s="3"/>
      <c r="BK137" s="189"/>
      <c r="BL137" s="190"/>
      <c r="BM137" s="3"/>
      <c r="BN137" s="3"/>
      <c r="BO137" s="3"/>
      <c r="BP137" s="3"/>
      <c r="BQ137" s="3"/>
      <c r="BR137" s="3"/>
      <c r="BS137" s="3"/>
      <c r="BT137" s="3"/>
      <c r="BU137" s="3"/>
      <c r="BV137" s="3"/>
      <c r="BW137" s="189"/>
      <c r="BX137" s="190"/>
      <c r="BY137" s="3"/>
      <c r="BZ137" s="3"/>
      <c r="CA137" s="49"/>
      <c r="CB137" s="49"/>
      <c r="CC137" s="27"/>
      <c r="CD137" s="27"/>
      <c r="CE137" s="27"/>
      <c r="CF137" s="27"/>
      <c r="CG137" s="27"/>
      <c r="CH137" s="27"/>
      <c r="CI137" s="194"/>
      <c r="CJ137" s="195"/>
      <c r="CK137" s="27"/>
      <c r="CL137" s="27"/>
      <c r="CM137" s="27"/>
      <c r="CN137" s="122"/>
      <c r="CO137" s="122"/>
      <c r="CP137" s="97"/>
      <c r="CQ137" s="97"/>
      <c r="CR137" s="97"/>
      <c r="CS137" s="97"/>
      <c r="CT137" s="97"/>
      <c r="CU137" s="191"/>
      <c r="CV137" s="97"/>
      <c r="CW137" s="97"/>
      <c r="CX137" s="97"/>
      <c r="CY137" s="97"/>
      <c r="CZ137" s="97"/>
      <c r="DA137" s="97"/>
      <c r="DB137" s="97"/>
      <c r="DC137" s="97"/>
      <c r="DD137" s="97"/>
      <c r="DE137" s="108"/>
      <c r="DF137" s="97"/>
      <c r="DG137" s="193"/>
      <c r="DH137" s="119"/>
      <c r="DI137" s="122"/>
      <c r="DJ137" s="97"/>
      <c r="DK137" s="97"/>
      <c r="DL137" s="108"/>
      <c r="DM137" s="108"/>
      <c r="DN137" s="99"/>
      <c r="DO137" s="99"/>
      <c r="DP137" s="99"/>
      <c r="DQ137" s="99"/>
      <c r="DR137" s="99"/>
      <c r="DS137" s="116"/>
      <c r="DT137" s="105"/>
      <c r="DU137" s="102"/>
      <c r="DV137" s="102"/>
      <c r="DW137" s="99"/>
      <c r="DX137" s="99"/>
      <c r="DY137" s="102"/>
      <c r="DZ137" s="102"/>
      <c r="EA137" s="102"/>
      <c r="EB137" s="102"/>
      <c r="EC137" s="102"/>
      <c r="ED137" s="102"/>
      <c r="EE137" s="130"/>
      <c r="EF137" s="102"/>
      <c r="EG137" s="102"/>
      <c r="EH137" s="101"/>
      <c r="EI137" s="101"/>
      <c r="EJ137" s="101"/>
      <c r="EK137" s="101"/>
      <c r="EL137" s="142"/>
      <c r="EM137" s="113"/>
      <c r="EN137" s="113"/>
      <c r="EO137" s="113"/>
      <c r="EP137" s="113"/>
      <c r="EQ137" s="137"/>
      <c r="ER137" s="138"/>
      <c r="ES137" s="113"/>
      <c r="ET137" s="113"/>
      <c r="EU137" s="113"/>
      <c r="EV137" s="113"/>
      <c r="EW137" s="113"/>
      <c r="EX137" s="113"/>
      <c r="EY137" s="113"/>
      <c r="EZ137" s="113"/>
      <c r="FA137" s="113"/>
      <c r="FB137" s="113"/>
      <c r="FC137" s="137"/>
      <c r="FD137" s="293"/>
      <c r="FE137" s="293"/>
      <c r="FF137" s="293"/>
      <c r="FG137" s="293"/>
      <c r="FH137" s="293"/>
      <c r="FI137" s="293"/>
      <c r="FJ137" s="293"/>
      <c r="FK137" s="137"/>
      <c r="FL137" s="138"/>
      <c r="FM137" s="138"/>
      <c r="FN137" s="138"/>
      <c r="FO137" s="293"/>
      <c r="FP137" s="137"/>
      <c r="FQ137" s="138"/>
      <c r="FR137" s="293"/>
      <c r="FS137" s="293"/>
      <c r="FT137" s="293"/>
      <c r="FU137" s="293"/>
      <c r="FV137" s="113"/>
      <c r="FW137" s="293"/>
      <c r="FX137" s="293"/>
      <c r="FY137" s="113"/>
      <c r="FZ137" s="138"/>
      <c r="GA137" s="138"/>
      <c r="GB137" s="138"/>
      <c r="GC137" s="138"/>
      <c r="GD137" s="293"/>
    </row>
    <row r="138" spans="1:186" ht="15" customHeight="1">
      <c r="A138" s="3"/>
      <c r="B138" s="117" t="s">
        <v>15</v>
      </c>
      <c r="C138" s="19">
        <f>C51/C81</f>
        <v>0.285629099582588</v>
      </c>
      <c r="D138" s="35"/>
      <c r="E138" s="36"/>
      <c r="F138" s="36"/>
      <c r="G138" s="36"/>
      <c r="H138" s="36"/>
      <c r="I138" s="36"/>
      <c r="J138" s="36"/>
      <c r="K138" s="36"/>
      <c r="L138" s="36"/>
      <c r="M138" s="36"/>
      <c r="N138" s="36"/>
      <c r="O138" s="37">
        <f aca="true" t="shared" si="242" ref="O138:AT138">O51/O81</f>
        <v>0.8273312054996317</v>
      </c>
      <c r="P138" s="35">
        <f t="shared" si="242"/>
        <v>0.9375370786516855</v>
      </c>
      <c r="Q138" s="36">
        <f t="shared" si="242"/>
        <v>0.9318892918088737</v>
      </c>
      <c r="R138" s="36">
        <f t="shared" si="242"/>
        <v>0.9803316056196727</v>
      </c>
      <c r="S138" s="36">
        <f t="shared" si="242"/>
        <v>0.9179765714457915</v>
      </c>
      <c r="T138" s="36">
        <f t="shared" si="242"/>
        <v>1.0178358252596345</v>
      </c>
      <c r="U138" s="36">
        <f t="shared" si="242"/>
        <v>0.9384415327431253</v>
      </c>
      <c r="V138" s="36">
        <f t="shared" si="242"/>
        <v>0.9883008970655315</v>
      </c>
      <c r="W138" s="36">
        <f t="shared" si="242"/>
        <v>0.9426700977793384</v>
      </c>
      <c r="X138" s="36">
        <f t="shared" si="242"/>
        <v>1.0224976874668283</v>
      </c>
      <c r="Y138" s="36">
        <f t="shared" si="242"/>
        <v>1.107634631379962</v>
      </c>
      <c r="Z138" s="36">
        <f t="shared" si="242"/>
        <v>1.14187827934926</v>
      </c>
      <c r="AA138" s="37">
        <f t="shared" si="242"/>
        <v>1.2936355926060168</v>
      </c>
      <c r="AB138" s="35">
        <f t="shared" si="242"/>
        <v>1.3200664506839455</v>
      </c>
      <c r="AC138" s="36">
        <f t="shared" si="242"/>
        <v>1.336230551626591</v>
      </c>
      <c r="AD138" s="36">
        <f t="shared" si="242"/>
        <v>1.3483920470262794</v>
      </c>
      <c r="AE138" s="36">
        <f t="shared" si="242"/>
        <v>1.3694934053167498</v>
      </c>
      <c r="AF138" s="36">
        <f t="shared" si="242"/>
        <v>1.3151793208446414</v>
      </c>
      <c r="AG138" s="36">
        <f t="shared" si="242"/>
        <v>1.233404607817758</v>
      </c>
      <c r="AH138" s="36">
        <f t="shared" si="242"/>
        <v>1.211537638469285</v>
      </c>
      <c r="AI138" s="36">
        <f t="shared" si="242"/>
        <v>1.3246193738999243</v>
      </c>
      <c r="AJ138" s="36">
        <f t="shared" si="242"/>
        <v>1.363801041468216</v>
      </c>
      <c r="AK138" s="36">
        <f t="shared" si="242"/>
        <v>1.3698505920886872</v>
      </c>
      <c r="AL138" s="36">
        <f t="shared" si="242"/>
        <v>1.2154581992593043</v>
      </c>
      <c r="AM138" s="37">
        <f t="shared" si="242"/>
        <v>1.4929361908566863</v>
      </c>
      <c r="AN138" s="26">
        <f t="shared" si="242"/>
        <v>1.4061631109606052</v>
      </c>
      <c r="AO138" s="26">
        <f t="shared" si="242"/>
        <v>1.3245003497726477</v>
      </c>
      <c r="AP138" s="27">
        <f t="shared" si="242"/>
        <v>1.3024722552853822</v>
      </c>
      <c r="AQ138" s="27">
        <f t="shared" si="242"/>
        <v>1.3675850752734757</v>
      </c>
      <c r="AR138" s="27">
        <f t="shared" si="242"/>
        <v>1.3372562467866322</v>
      </c>
      <c r="AS138" s="27">
        <f t="shared" si="242"/>
        <v>1.3136983792782648</v>
      </c>
      <c r="AT138" s="27">
        <f t="shared" si="242"/>
        <v>1.48065018516665</v>
      </c>
      <c r="AU138" s="27">
        <f aca="true" t="shared" si="243" ref="AU138:BZ138">AU51/AU81</f>
        <v>1.4876655232413623</v>
      </c>
      <c r="AV138" s="27">
        <f t="shared" si="243"/>
        <v>1.1402478391727118</v>
      </c>
      <c r="AW138" s="27">
        <f t="shared" si="243"/>
        <v>1.1767648225111524</v>
      </c>
      <c r="AX138" s="27">
        <f t="shared" si="243"/>
        <v>1.1991894969716752</v>
      </c>
      <c r="AY138" s="194">
        <f t="shared" si="243"/>
        <v>1.3320955637322964</v>
      </c>
      <c r="AZ138" s="27">
        <f t="shared" si="243"/>
        <v>1.2947543601245273</v>
      </c>
      <c r="BA138" s="27">
        <f t="shared" si="243"/>
        <v>1.2163821595378563</v>
      </c>
      <c r="BB138" s="27">
        <f t="shared" si="243"/>
        <v>1.2541416424657945</v>
      </c>
      <c r="BC138" s="27">
        <f t="shared" si="243"/>
        <v>1.3441100107574513</v>
      </c>
      <c r="BD138" s="27">
        <f t="shared" si="243"/>
        <v>1.3958041159227585</v>
      </c>
      <c r="BE138" s="27">
        <f t="shared" si="243"/>
        <v>1.2768914478188242</v>
      </c>
      <c r="BF138" s="27">
        <f t="shared" si="243"/>
        <v>1.2480699663598194</v>
      </c>
      <c r="BG138" s="27">
        <f t="shared" si="243"/>
        <v>1.2080324307468426</v>
      </c>
      <c r="BH138" s="27">
        <f t="shared" si="243"/>
        <v>1.4175248845561825</v>
      </c>
      <c r="BI138" s="27">
        <f t="shared" si="243"/>
        <v>1.3101534552054972</v>
      </c>
      <c r="BJ138" s="27">
        <f t="shared" si="243"/>
        <v>1.3488844752644407</v>
      </c>
      <c r="BK138" s="194">
        <f t="shared" si="243"/>
        <v>1.3756339625282903</v>
      </c>
      <c r="BL138" s="195">
        <f t="shared" si="243"/>
        <v>1.2830383276899922</v>
      </c>
      <c r="BM138" s="27">
        <f t="shared" si="243"/>
        <v>1.1878660026529522</v>
      </c>
      <c r="BN138" s="27">
        <f t="shared" si="243"/>
        <v>1.1658871362976708</v>
      </c>
      <c r="BO138" s="27">
        <f t="shared" si="243"/>
        <v>1.1538827491016397</v>
      </c>
      <c r="BP138" s="27">
        <f t="shared" si="243"/>
        <v>1.1397648880419247</v>
      </c>
      <c r="BQ138" s="27">
        <f t="shared" si="243"/>
        <v>1.1556273398021402</v>
      </c>
      <c r="BR138" s="27">
        <f t="shared" si="243"/>
        <v>1.169397468063068</v>
      </c>
      <c r="BS138" s="27">
        <f t="shared" si="243"/>
        <v>1.205131425362018</v>
      </c>
      <c r="BT138" s="27">
        <f t="shared" si="243"/>
        <v>1.130067573095897</v>
      </c>
      <c r="BU138" s="27">
        <f t="shared" si="243"/>
        <v>1.181800206601869</v>
      </c>
      <c r="BV138" s="27">
        <f t="shared" si="243"/>
        <v>1.2063909267957384</v>
      </c>
      <c r="BW138" s="194">
        <f t="shared" si="243"/>
        <v>1.1536155732273028</v>
      </c>
      <c r="BX138" s="195">
        <f t="shared" si="243"/>
        <v>1.2432540713568074</v>
      </c>
      <c r="BY138" s="27">
        <f t="shared" si="243"/>
        <v>1.1927932828540901</v>
      </c>
      <c r="BZ138" s="27">
        <f t="shared" si="243"/>
        <v>1.2349930161072176</v>
      </c>
      <c r="CA138" s="27">
        <f aca="true" t="shared" si="244" ref="CA138:DF138">CA51/CA81</f>
        <v>1.245536858109765</v>
      </c>
      <c r="CB138" s="27">
        <f t="shared" si="244"/>
        <v>1.1244280562987088</v>
      </c>
      <c r="CC138" s="27">
        <f t="shared" si="244"/>
        <v>1.106759786873551</v>
      </c>
      <c r="CD138" s="27">
        <f t="shared" si="244"/>
        <v>1.108984527525068</v>
      </c>
      <c r="CE138" s="27">
        <f t="shared" si="244"/>
        <v>1.1013933362369337</v>
      </c>
      <c r="CF138" s="27">
        <f t="shared" si="244"/>
        <v>1.166525995336385</v>
      </c>
      <c r="CG138" s="27">
        <f t="shared" si="244"/>
        <v>1.1647785584623598</v>
      </c>
      <c r="CH138" s="27">
        <f t="shared" si="244"/>
        <v>1.1521955014795042</v>
      </c>
      <c r="CI138" s="194">
        <f t="shared" si="244"/>
        <v>1.1013434677569225</v>
      </c>
      <c r="CJ138" s="195">
        <f t="shared" si="244"/>
        <v>1.163795350005798</v>
      </c>
      <c r="CK138" s="27">
        <f t="shared" si="244"/>
        <v>1.1863339275699063</v>
      </c>
      <c r="CL138" s="27">
        <f t="shared" si="244"/>
        <v>1.219222911368852</v>
      </c>
      <c r="CM138" s="27">
        <f t="shared" si="244"/>
        <v>1.1843744859848342</v>
      </c>
      <c r="CN138" s="27">
        <f t="shared" si="244"/>
        <v>1.209160028151868</v>
      </c>
      <c r="CO138" s="27">
        <f t="shared" si="244"/>
        <v>1.1931867154517308</v>
      </c>
      <c r="CP138" s="27">
        <f t="shared" si="244"/>
        <v>1.1462518579535055</v>
      </c>
      <c r="CQ138" s="27">
        <f t="shared" si="244"/>
        <v>1.2095270280036132</v>
      </c>
      <c r="CR138" s="27">
        <f t="shared" si="244"/>
        <v>1.2054912744388124</v>
      </c>
      <c r="CS138" s="27">
        <f t="shared" si="244"/>
        <v>1.1901506760316067</v>
      </c>
      <c r="CT138" s="27">
        <f t="shared" si="244"/>
        <v>1.1603559455931856</v>
      </c>
      <c r="CU138" s="194">
        <f t="shared" si="244"/>
        <v>1.2116118266380453</v>
      </c>
      <c r="CV138" s="27">
        <f t="shared" si="244"/>
        <v>1.2584076393460124</v>
      </c>
      <c r="CW138" s="27">
        <f t="shared" si="244"/>
        <v>1.2136369049722586</v>
      </c>
      <c r="CX138" s="27">
        <f t="shared" si="244"/>
        <v>1.1845496754337865</v>
      </c>
      <c r="CY138" s="27">
        <f t="shared" si="244"/>
        <v>1.1821729688127427</v>
      </c>
      <c r="CZ138" s="27">
        <f t="shared" si="244"/>
        <v>1.154124387542788</v>
      </c>
      <c r="DA138" s="27">
        <f t="shared" si="244"/>
        <v>1.2309853791562622</v>
      </c>
      <c r="DB138" s="197">
        <f t="shared" si="244"/>
        <v>1.2158057681476329</v>
      </c>
      <c r="DC138" s="113">
        <f t="shared" si="244"/>
        <v>1.2070038294571084</v>
      </c>
      <c r="DD138" s="102">
        <f t="shared" si="244"/>
        <v>1.1862937423804674</v>
      </c>
      <c r="DE138" s="102">
        <f t="shared" si="244"/>
        <v>1.31027632640295</v>
      </c>
      <c r="DF138" s="102">
        <f t="shared" si="244"/>
        <v>1.2274827097320906</v>
      </c>
      <c r="DG138" s="130">
        <f aca="true" t="shared" si="245" ref="DG138:EL138">DG51/DG81</f>
        <v>1.2649797763089397</v>
      </c>
      <c r="DH138" s="105">
        <f t="shared" si="245"/>
        <v>1.2541910970715748</v>
      </c>
      <c r="DI138" s="102">
        <f t="shared" si="245"/>
        <v>1.2809542002552212</v>
      </c>
      <c r="DJ138" s="102">
        <f t="shared" si="245"/>
        <v>1.2049877256428332</v>
      </c>
      <c r="DK138" s="102">
        <f t="shared" si="245"/>
        <v>1.20722241559859</v>
      </c>
      <c r="DL138" s="102">
        <f t="shared" si="245"/>
        <v>1.2070745029273664</v>
      </c>
      <c r="DM138" s="102">
        <f t="shared" si="245"/>
        <v>1.1879308107330406</v>
      </c>
      <c r="DN138" s="102">
        <f t="shared" si="245"/>
        <v>1.1999381748240538</v>
      </c>
      <c r="DO138" s="102">
        <f t="shared" si="245"/>
        <v>1.2069776734436022</v>
      </c>
      <c r="DP138" s="102">
        <f t="shared" si="245"/>
        <v>1.248761073005865</v>
      </c>
      <c r="DQ138" s="102">
        <f t="shared" si="245"/>
        <v>1.2512308261475853</v>
      </c>
      <c r="DR138" s="102">
        <f t="shared" si="245"/>
        <v>1.2148491481439694</v>
      </c>
      <c r="DS138" s="130">
        <f t="shared" si="245"/>
        <v>1.2350507650937086</v>
      </c>
      <c r="DT138" s="105">
        <f t="shared" si="245"/>
        <v>1.2513408049692234</v>
      </c>
      <c r="DU138" s="102">
        <f t="shared" si="245"/>
        <v>1.256332559350417</v>
      </c>
      <c r="DV138" s="102">
        <f t="shared" si="245"/>
        <v>1.240481911743973</v>
      </c>
      <c r="DW138" s="102">
        <f t="shared" si="245"/>
        <v>1.2549510625626423</v>
      </c>
      <c r="DX138" s="102">
        <f t="shared" si="245"/>
        <v>1.409176512434419</v>
      </c>
      <c r="DY138" s="102">
        <f t="shared" si="245"/>
        <v>1.4282037902227724</v>
      </c>
      <c r="DZ138" s="102">
        <f t="shared" si="245"/>
        <v>1.307633342666411</v>
      </c>
      <c r="EA138" s="102">
        <f t="shared" si="245"/>
        <v>1.3249172323484701</v>
      </c>
      <c r="EB138" s="102">
        <f t="shared" si="245"/>
        <v>1.2672933870824319</v>
      </c>
      <c r="EC138" s="103">
        <f t="shared" si="245"/>
        <v>1.2676116329695237</v>
      </c>
      <c r="ED138" s="103">
        <f t="shared" si="245"/>
        <v>1.2742927752068858</v>
      </c>
      <c r="EE138" s="137">
        <f t="shared" si="245"/>
        <v>1.1679130920565897</v>
      </c>
      <c r="EF138" s="113">
        <f t="shared" si="245"/>
        <v>1.266215349351099</v>
      </c>
      <c r="EG138" s="113">
        <f t="shared" si="245"/>
        <v>1.2682689218588978</v>
      </c>
      <c r="EH138" s="113">
        <f t="shared" si="245"/>
        <v>1.232701717375338</v>
      </c>
      <c r="EI138" s="113">
        <f t="shared" si="245"/>
        <v>1.2275595629262244</v>
      </c>
      <c r="EJ138" s="113">
        <f t="shared" si="245"/>
        <v>1.1921573893982897</v>
      </c>
      <c r="EK138" s="109">
        <f t="shared" si="245"/>
        <v>1.1581411744189734</v>
      </c>
      <c r="EL138" s="113">
        <f t="shared" si="245"/>
        <v>1.1577021251887119</v>
      </c>
      <c r="EM138" s="113">
        <f aca="true" t="shared" si="246" ref="EM138:FR138">EM51/EM81</f>
        <v>1.163170248715869</v>
      </c>
      <c r="EN138" s="113">
        <f t="shared" si="246"/>
        <v>1.1538758308824781</v>
      </c>
      <c r="EO138" s="113">
        <f t="shared" si="246"/>
        <v>1.1606487045746046</v>
      </c>
      <c r="EP138" s="113">
        <f t="shared" si="246"/>
        <v>1.0745431894831028</v>
      </c>
      <c r="EQ138" s="137">
        <f t="shared" si="246"/>
        <v>1.0850340830569374</v>
      </c>
      <c r="ER138" s="138">
        <f t="shared" si="246"/>
        <v>1.0652176357554621</v>
      </c>
      <c r="ES138" s="113">
        <f t="shared" si="246"/>
        <v>1.0203846970197812</v>
      </c>
      <c r="ET138" s="113">
        <f t="shared" si="246"/>
        <v>0.9988579543527657</v>
      </c>
      <c r="EU138" s="113">
        <f t="shared" si="246"/>
        <v>0.9798104716066713</v>
      </c>
      <c r="EV138" s="113">
        <f t="shared" si="246"/>
        <v>0.9678520930387884</v>
      </c>
      <c r="EW138" s="113">
        <f t="shared" si="246"/>
        <v>0.9302287612089007</v>
      </c>
      <c r="EX138" s="113">
        <f t="shared" si="246"/>
        <v>0.9146808930493494</v>
      </c>
      <c r="EY138" s="113">
        <f t="shared" si="246"/>
        <v>0.9381517429595151</v>
      </c>
      <c r="EZ138" s="113">
        <f t="shared" si="246"/>
        <v>0.9071530796803579</v>
      </c>
      <c r="FA138" s="113">
        <f t="shared" si="246"/>
        <v>0.8609298472063117</v>
      </c>
      <c r="FB138" s="113">
        <f t="shared" si="246"/>
        <v>0.8514986377799892</v>
      </c>
      <c r="FC138" s="137">
        <f t="shared" si="246"/>
        <v>0.8406704478279624</v>
      </c>
      <c r="FD138" s="293">
        <f t="shared" si="246"/>
        <v>0.8470252289141088</v>
      </c>
      <c r="FE138" s="293">
        <f t="shared" si="246"/>
        <v>0.8684632055794551</v>
      </c>
      <c r="FF138" s="293">
        <f t="shared" si="246"/>
        <v>0.8803424628099175</v>
      </c>
      <c r="FG138" s="293">
        <f t="shared" si="246"/>
        <v>0.917744442146624</v>
      </c>
      <c r="FH138" s="293">
        <f t="shared" si="246"/>
        <v>0.9179121773385397</v>
      </c>
      <c r="FI138" s="293">
        <f t="shared" si="246"/>
        <v>0.9173036332918066</v>
      </c>
      <c r="FJ138" s="293">
        <f t="shared" si="246"/>
        <v>0.9215043824701195</v>
      </c>
      <c r="FK138" s="293">
        <f t="shared" si="246"/>
        <v>0.954867040315681</v>
      </c>
      <c r="FL138" s="138">
        <f t="shared" si="246"/>
        <v>0.9594188293039527</v>
      </c>
      <c r="FM138" s="138">
        <f t="shared" si="246"/>
        <v>0.9778527062999113</v>
      </c>
      <c r="FN138" s="138">
        <f t="shared" si="246"/>
        <v>0.9794560235992344</v>
      </c>
      <c r="FO138" s="293">
        <f t="shared" si="246"/>
        <v>0.9474432287707004</v>
      </c>
      <c r="FP138" s="293">
        <f t="shared" si="246"/>
        <v>1.0062789217457122</v>
      </c>
      <c r="FQ138" s="138">
        <f t="shared" si="246"/>
        <v>1.0251065098094219</v>
      </c>
      <c r="FR138" s="293">
        <f t="shared" si="246"/>
        <v>1.0599798297917515</v>
      </c>
      <c r="FS138" s="293">
        <f aca="true" t="shared" si="247" ref="FS138:GA138">FS51/FS81</f>
        <v>1.1005878161738512</v>
      </c>
      <c r="FT138" s="293">
        <f t="shared" si="247"/>
        <v>1.0900112076211823</v>
      </c>
      <c r="FU138" s="293">
        <f t="shared" si="247"/>
        <v>1.1016441684203322</v>
      </c>
      <c r="FV138" s="138">
        <f t="shared" si="247"/>
        <v>1.122351945854484</v>
      </c>
      <c r="FW138" s="293">
        <f t="shared" si="247"/>
        <v>1.128428248270396</v>
      </c>
      <c r="FX138" s="293">
        <f t="shared" si="247"/>
        <v>1.12064290614485</v>
      </c>
      <c r="FY138" s="293">
        <f t="shared" si="247"/>
        <v>1.1670856128936862</v>
      </c>
      <c r="FZ138" s="138">
        <f t="shared" si="247"/>
        <v>1.1666666666666667</v>
      </c>
      <c r="GA138" s="138">
        <f t="shared" si="247"/>
        <v>1.213797209661587</v>
      </c>
      <c r="GB138" s="138">
        <f>GB51/GB81</f>
        <v>1.19142351195699</v>
      </c>
      <c r="GC138" s="138">
        <f>GC51/GC81</f>
        <v>1.2291811158244488</v>
      </c>
      <c r="GD138" s="293">
        <f>GD51/GD81</f>
        <v>1.2184062248457204</v>
      </c>
    </row>
    <row r="139" spans="1:186" ht="15" customHeight="1">
      <c r="A139" s="3"/>
      <c r="B139" s="117" t="s">
        <v>16</v>
      </c>
      <c r="C139" s="19"/>
      <c r="D139" s="35">
        <f aca="true" t="shared" si="248" ref="D139:N139">D51/D81</f>
        <v>0.2985450475657527</v>
      </c>
      <c r="E139" s="36">
        <f t="shared" si="248"/>
        <v>0.4021250510829587</v>
      </c>
      <c r="F139" s="36">
        <f t="shared" si="248"/>
        <v>0.35354768688102023</v>
      </c>
      <c r="G139" s="36">
        <f t="shared" si="248"/>
        <v>0.41535709722754566</v>
      </c>
      <c r="H139" s="36">
        <f t="shared" si="248"/>
        <v>0.4969464734762304</v>
      </c>
      <c r="I139" s="36">
        <f t="shared" si="248"/>
        <v>0.5155938951559389</v>
      </c>
      <c r="J139" s="36">
        <f t="shared" si="248"/>
        <v>0.6141237015152959</v>
      </c>
      <c r="K139" s="36">
        <f t="shared" si="248"/>
        <v>0.604752622296482</v>
      </c>
      <c r="L139" s="36">
        <f t="shared" si="248"/>
        <v>0.6860647422300101</v>
      </c>
      <c r="M139" s="36">
        <f t="shared" si="248"/>
        <v>0.6412135832250881</v>
      </c>
      <c r="N139" s="36">
        <f t="shared" si="248"/>
        <v>0.7168669490792773</v>
      </c>
      <c r="O139" s="37">
        <f aca="true" t="shared" si="249" ref="O139:AT139">O97/O91</f>
        <v>0.6281673541543901</v>
      </c>
      <c r="P139" s="35">
        <f t="shared" si="249"/>
        <v>0.7941176470588235</v>
      </c>
      <c r="Q139" s="36">
        <f t="shared" si="249"/>
        <v>0.9212291711750703</v>
      </c>
      <c r="R139" s="36">
        <f t="shared" si="249"/>
        <v>0.812536844173708</v>
      </c>
      <c r="S139" s="36">
        <f t="shared" si="249"/>
        <v>0.6265975180588998</v>
      </c>
      <c r="T139" s="36">
        <f t="shared" si="249"/>
        <v>0.6006938104801899</v>
      </c>
      <c r="U139" s="36">
        <f t="shared" si="249"/>
        <v>0.5792660550458716</v>
      </c>
      <c r="V139" s="36">
        <f t="shared" si="249"/>
        <v>0.6743247983163803</v>
      </c>
      <c r="W139" s="36">
        <f t="shared" si="249"/>
        <v>0.4049876339653751</v>
      </c>
      <c r="X139" s="36">
        <f t="shared" si="249"/>
        <v>0.41343126967471144</v>
      </c>
      <c r="Y139" s="36">
        <f t="shared" si="249"/>
        <v>0.3680787811222594</v>
      </c>
      <c r="Z139" s="36">
        <f t="shared" si="249"/>
        <v>0.3663531870428422</v>
      </c>
      <c r="AA139" s="37">
        <f t="shared" si="249"/>
        <v>0.3728235505295279</v>
      </c>
      <c r="AB139" s="35">
        <f t="shared" si="249"/>
        <v>0.3505757002921464</v>
      </c>
      <c r="AC139" s="36">
        <f t="shared" si="249"/>
        <v>0.25760938490805324</v>
      </c>
      <c r="AD139" s="36">
        <f t="shared" si="249"/>
        <v>0.23033389926428977</v>
      </c>
      <c r="AE139" s="36">
        <f t="shared" si="249"/>
        <v>0.16790490341753342</v>
      </c>
      <c r="AF139" s="36">
        <f t="shared" si="249"/>
        <v>0.24819121447028425</v>
      </c>
      <c r="AG139" s="36">
        <f t="shared" si="249"/>
        <v>0.2779729051680883</v>
      </c>
      <c r="AH139" s="36">
        <f t="shared" si="249"/>
        <v>0.24082295614510016</v>
      </c>
      <c r="AI139" s="36">
        <f t="shared" si="249"/>
        <v>0.32784692932825843</v>
      </c>
      <c r="AJ139" s="36">
        <f t="shared" si="249"/>
        <v>0.3037255101004974</v>
      </c>
      <c r="AK139" s="36">
        <f t="shared" si="249"/>
        <v>0.24459432652251537</v>
      </c>
      <c r="AL139" s="36">
        <f t="shared" si="249"/>
        <v>0.25446562219339386</v>
      </c>
      <c r="AM139" s="37">
        <f t="shared" si="249"/>
        <v>0.32288370253164556</v>
      </c>
      <c r="AN139" s="26">
        <f t="shared" si="249"/>
        <v>0.18337097684923773</v>
      </c>
      <c r="AO139" s="26">
        <f t="shared" si="249"/>
        <v>0.006670451319897814</v>
      </c>
      <c r="AP139" s="27">
        <f t="shared" si="249"/>
        <v>-0.056280701754385966</v>
      </c>
      <c r="AQ139" s="27">
        <f t="shared" si="249"/>
        <v>0.12035936054961026</v>
      </c>
      <c r="AR139" s="27">
        <f t="shared" si="249"/>
        <v>0.18334655035685962</v>
      </c>
      <c r="AS139" s="27">
        <f t="shared" si="249"/>
        <v>0.16793893129770993</v>
      </c>
      <c r="AT139" s="27">
        <f t="shared" si="249"/>
        <v>0.24909066415196013</v>
      </c>
      <c r="AU139" s="27">
        <f aca="true" t="shared" si="250" ref="AU139:BZ139">AU97/AU91</f>
        <v>0.25026191723415403</v>
      </c>
      <c r="AV139" s="27">
        <f t="shared" si="250"/>
        <v>-0.24655619884208424</v>
      </c>
      <c r="AW139" s="27">
        <f t="shared" si="250"/>
        <v>0.004643669446550417</v>
      </c>
      <c r="AX139" s="27">
        <f t="shared" si="250"/>
        <v>0.09904981284192341</v>
      </c>
      <c r="AY139" s="194">
        <f t="shared" si="250"/>
        <v>0.22162841873624647</v>
      </c>
      <c r="AZ139" s="27">
        <f t="shared" si="250"/>
        <v>0.16335540838852097</v>
      </c>
      <c r="BA139" s="27">
        <f t="shared" si="250"/>
        <v>0.1526127145821543</v>
      </c>
      <c r="BB139" s="27">
        <f t="shared" si="250"/>
        <v>0.1786639526276832</v>
      </c>
      <c r="BC139" s="27">
        <f t="shared" si="250"/>
        <v>0.1624002202036884</v>
      </c>
      <c r="BD139" s="27">
        <f t="shared" si="250"/>
        <v>0.1822141560798548</v>
      </c>
      <c r="BE139" s="27">
        <f t="shared" si="250"/>
        <v>0.23794829024186823</v>
      </c>
      <c r="BF139" s="27">
        <f t="shared" si="250"/>
        <v>0.12587691326530612</v>
      </c>
      <c r="BG139" s="27">
        <f t="shared" si="250"/>
        <v>0.15495042178481575</v>
      </c>
      <c r="BH139" s="27">
        <f t="shared" si="250"/>
        <v>0.1293146043622503</v>
      </c>
      <c r="BI139" s="27">
        <f t="shared" si="250"/>
        <v>0.13309705150441142</v>
      </c>
      <c r="BJ139" s="27">
        <f t="shared" si="250"/>
        <v>0.136002583144979</v>
      </c>
      <c r="BK139" s="194">
        <f t="shared" si="250"/>
        <v>0.10896694466427223</v>
      </c>
      <c r="BL139" s="195">
        <f t="shared" si="250"/>
        <v>0.12459352041430809</v>
      </c>
      <c r="BM139" s="27">
        <f t="shared" si="250"/>
        <v>0.11523492582773986</v>
      </c>
      <c r="BN139" s="27">
        <f t="shared" si="250"/>
        <v>0.7828072846518709</v>
      </c>
      <c r="BO139" s="27">
        <f t="shared" si="250"/>
        <v>0.7764865502595564</v>
      </c>
      <c r="BP139" s="27">
        <f t="shared" si="250"/>
        <v>0.784856121432339</v>
      </c>
      <c r="BQ139" s="27">
        <f t="shared" si="250"/>
        <v>0.7317559705214163</v>
      </c>
      <c r="BR139" s="27">
        <f t="shared" si="250"/>
        <v>0.7384125939334101</v>
      </c>
      <c r="BS139" s="27">
        <f t="shared" si="250"/>
        <v>0.6972658280486537</v>
      </c>
      <c r="BT139" s="27">
        <f t="shared" si="250"/>
        <v>0.5202656285779711</v>
      </c>
      <c r="BU139" s="27">
        <f t="shared" si="250"/>
        <v>0.5538020738584682</v>
      </c>
      <c r="BV139" s="27">
        <f t="shared" si="250"/>
        <v>0.5716824381358567</v>
      </c>
      <c r="BW139" s="194">
        <f t="shared" si="250"/>
        <v>0.5464035161862902</v>
      </c>
      <c r="BX139" s="195">
        <f t="shared" si="250"/>
        <v>0.6786263869765935</v>
      </c>
      <c r="BY139" s="27">
        <f t="shared" si="250"/>
        <v>0.6308414842415774</v>
      </c>
      <c r="BZ139" s="27">
        <f t="shared" si="250"/>
        <v>0.5857792476229847</v>
      </c>
      <c r="CA139" s="27">
        <f aca="true" t="shared" si="251" ref="CA139:DF139">CA97/CA91</f>
        <v>0.5219784146951612</v>
      </c>
      <c r="CB139" s="27">
        <f t="shared" si="251"/>
        <v>0.5276534150200289</v>
      </c>
      <c r="CC139" s="27">
        <f t="shared" si="251"/>
        <v>0.5546567487990082</v>
      </c>
      <c r="CD139" s="27">
        <f t="shared" si="251"/>
        <v>0.5518540427784178</v>
      </c>
      <c r="CE139" s="27">
        <f t="shared" si="251"/>
        <v>0.5592260643129655</v>
      </c>
      <c r="CF139" s="27">
        <f t="shared" si="251"/>
        <v>0.6696323195642306</v>
      </c>
      <c r="CG139" s="27">
        <f t="shared" si="251"/>
        <v>0.6040788659338069</v>
      </c>
      <c r="CH139" s="27">
        <f t="shared" si="251"/>
        <v>0.6462412587412587</v>
      </c>
      <c r="CI139" s="194">
        <f t="shared" si="251"/>
        <v>0.7879536122516924</v>
      </c>
      <c r="CJ139" s="195">
        <f t="shared" si="251"/>
        <v>0.6046351789739924</v>
      </c>
      <c r="CK139" s="27">
        <f t="shared" si="251"/>
        <v>0.5787926746552114</v>
      </c>
      <c r="CL139" s="27">
        <f t="shared" si="251"/>
        <v>0.5505251290571411</v>
      </c>
      <c r="CM139" s="27">
        <f t="shared" si="251"/>
        <v>0.6648579263667659</v>
      </c>
      <c r="CN139" s="27">
        <f t="shared" si="251"/>
        <v>0.6249091701787531</v>
      </c>
      <c r="CO139" s="27">
        <f t="shared" si="251"/>
        <v>0.5895217755670298</v>
      </c>
      <c r="CP139" s="27">
        <f t="shared" si="251"/>
        <v>0.5843398157625384</v>
      </c>
      <c r="CQ139" s="27">
        <f t="shared" si="251"/>
        <v>0.5814462735399438</v>
      </c>
      <c r="CR139" s="27">
        <f t="shared" si="251"/>
        <v>0.5741429371911773</v>
      </c>
      <c r="CS139" s="27">
        <f t="shared" si="251"/>
        <v>0.5823160918117216</v>
      </c>
      <c r="CT139" s="27">
        <f t="shared" si="251"/>
        <v>0.5766262141686656</v>
      </c>
      <c r="CU139" s="194">
        <f t="shared" si="251"/>
        <v>0.5473787336811647</v>
      </c>
      <c r="CV139" s="27">
        <f t="shared" si="251"/>
        <v>0.4873013976824752</v>
      </c>
      <c r="CW139" s="27">
        <f t="shared" si="251"/>
        <v>0.49344600758630625</v>
      </c>
      <c r="CX139" s="27">
        <f t="shared" si="251"/>
        <v>0.4809884601934957</v>
      </c>
      <c r="CY139" s="27">
        <f t="shared" si="251"/>
        <v>0.5282385961709605</v>
      </c>
      <c r="CZ139" s="27">
        <f t="shared" si="251"/>
        <v>0.5434808712985423</v>
      </c>
      <c r="DA139" s="27">
        <f t="shared" si="251"/>
        <v>0.5705995653891742</v>
      </c>
      <c r="DB139" s="27">
        <f t="shared" si="251"/>
        <v>0.5525075856624811</v>
      </c>
      <c r="DC139" s="27">
        <f t="shared" si="251"/>
        <v>0.5216855831924656</v>
      </c>
      <c r="DD139" s="27">
        <f t="shared" si="251"/>
        <v>0.4894687131050767</v>
      </c>
      <c r="DE139" s="27">
        <f t="shared" si="251"/>
        <v>0.5189990732159406</v>
      </c>
      <c r="DF139" s="101">
        <f t="shared" si="251"/>
        <v>0.5245984512511777</v>
      </c>
      <c r="DG139" s="127">
        <f aca="true" t="shared" si="252" ref="DG139:EP139">DG97/DG91</f>
        <v>0.5463986450347655</v>
      </c>
      <c r="DH139" s="104">
        <f t="shared" si="252"/>
        <v>0.512266731911297</v>
      </c>
      <c r="DI139" s="101">
        <f t="shared" si="252"/>
        <v>0.5398069180484003</v>
      </c>
      <c r="DJ139" s="101">
        <f t="shared" si="252"/>
        <v>0.5391120507399577</v>
      </c>
      <c r="DK139" s="109">
        <f t="shared" si="252"/>
        <v>0.5387893761581223</v>
      </c>
      <c r="DL139" s="109">
        <f t="shared" si="252"/>
        <v>0.5572331460674157</v>
      </c>
      <c r="DM139" s="109">
        <f t="shared" si="252"/>
        <v>0.5563171989288141</v>
      </c>
      <c r="DN139" s="109">
        <f t="shared" si="252"/>
        <v>0.5314639125735559</v>
      </c>
      <c r="DO139" s="109">
        <f t="shared" si="252"/>
        <v>0.5617569689430861</v>
      </c>
      <c r="DP139" s="109">
        <f t="shared" si="252"/>
        <v>0.5536544357630304</v>
      </c>
      <c r="DQ139" s="109">
        <f t="shared" si="252"/>
        <v>0.5327685516913758</v>
      </c>
      <c r="DR139" s="109">
        <f t="shared" si="252"/>
        <v>0.550051193195243</v>
      </c>
      <c r="DS139" s="141">
        <f t="shared" si="252"/>
        <v>0.5865348113279174</v>
      </c>
      <c r="DT139" s="109">
        <f t="shared" si="252"/>
        <v>0.5609069937545715</v>
      </c>
      <c r="DU139" s="109">
        <f t="shared" si="252"/>
        <v>0.4055536378629233</v>
      </c>
      <c r="DV139" s="109">
        <f t="shared" si="252"/>
        <v>0.5088868101028999</v>
      </c>
      <c r="DW139" s="109">
        <f t="shared" si="252"/>
        <v>0.46675306359703456</v>
      </c>
      <c r="DX139" s="109">
        <f t="shared" si="252"/>
        <v>0.4608157248157248</v>
      </c>
      <c r="DY139" s="109">
        <f t="shared" si="252"/>
        <v>0.41346115517997367</v>
      </c>
      <c r="DZ139" s="109">
        <f t="shared" si="252"/>
        <v>0.4765781262501</v>
      </c>
      <c r="EA139" s="109">
        <f t="shared" si="252"/>
        <v>0.33990264751276267</v>
      </c>
      <c r="EB139" s="109">
        <f t="shared" si="252"/>
        <v>0.3629973904264843</v>
      </c>
      <c r="EC139" s="109">
        <f t="shared" si="252"/>
        <v>0.33926771918038295</v>
      </c>
      <c r="ED139" s="103">
        <f t="shared" si="252"/>
        <v>0.3331708414579271</v>
      </c>
      <c r="EE139" s="131">
        <f t="shared" si="252"/>
        <v>0.3168362119437939</v>
      </c>
      <c r="EF139" s="106">
        <f>EF97/EF91</f>
        <v>0.29773399781965426</v>
      </c>
      <c r="EG139" s="103">
        <f t="shared" si="252"/>
        <v>0.28149003871020045</v>
      </c>
      <c r="EH139" s="103">
        <f t="shared" si="252"/>
        <v>0.3317948306309199</v>
      </c>
      <c r="EI139" s="103">
        <f t="shared" si="252"/>
        <v>0.31678784678500344</v>
      </c>
      <c r="EJ139" s="103">
        <f t="shared" si="252"/>
        <v>0.30317318213468614</v>
      </c>
      <c r="EK139" s="103">
        <f>EK97/EK91</f>
        <v>0.27186632886958617</v>
      </c>
      <c r="EL139" s="103">
        <f t="shared" si="252"/>
        <v>0.2542441884134674</v>
      </c>
      <c r="EM139" s="103">
        <f t="shared" si="252"/>
        <v>0.27474660781428806</v>
      </c>
      <c r="EN139" s="103">
        <f t="shared" si="252"/>
        <v>0.2997114055767824</v>
      </c>
      <c r="EO139" s="103">
        <f t="shared" si="252"/>
        <v>0.28883865843973366</v>
      </c>
      <c r="EP139" s="103">
        <f t="shared" si="252"/>
        <v>0.30761529316062824</v>
      </c>
      <c r="EQ139" s="131">
        <f aca="true" t="shared" si="253" ref="EQ139:EW139">EQ97/EQ91</f>
        <v>0.29279430247172183</v>
      </c>
      <c r="ER139" s="106">
        <f t="shared" si="253"/>
        <v>0.26982418371008254</v>
      </c>
      <c r="ES139" s="103">
        <f t="shared" si="253"/>
        <v>0.2663854843087716</v>
      </c>
      <c r="ET139" s="103">
        <f t="shared" si="253"/>
        <v>0.2832522091541499</v>
      </c>
      <c r="EU139" s="103">
        <f t="shared" si="253"/>
        <v>0.28280091571629595</v>
      </c>
      <c r="EV139" s="103">
        <f t="shared" si="253"/>
        <v>0.2759117683920291</v>
      </c>
      <c r="EW139" s="103">
        <f t="shared" si="253"/>
        <v>0.2836912809104133</v>
      </c>
      <c r="EX139" s="103">
        <f aca="true" t="shared" si="254" ref="EX139:FC139">EX97/EX91</f>
        <v>0.2893297723515198</v>
      </c>
      <c r="EY139" s="103">
        <f t="shared" si="254"/>
        <v>0.24783212662064322</v>
      </c>
      <c r="EZ139" s="103">
        <f t="shared" si="254"/>
        <v>0.251765753918595</v>
      </c>
      <c r="FA139" s="103">
        <f t="shared" si="254"/>
        <v>0.25645978195553265</v>
      </c>
      <c r="FB139" s="103">
        <f t="shared" si="254"/>
        <v>0.25150065245759023</v>
      </c>
      <c r="FC139" s="131">
        <f t="shared" si="254"/>
        <v>0.27600147803595104</v>
      </c>
      <c r="FD139" s="368">
        <f aca="true" t="shared" si="255" ref="FD139:FI139">FD97/FD91</f>
        <v>0.2503096332682579</v>
      </c>
      <c r="FE139" s="368">
        <f t="shared" si="255"/>
        <v>0.23718029482172107</v>
      </c>
      <c r="FF139" s="368">
        <f t="shared" si="255"/>
        <v>0.28646663869072597</v>
      </c>
      <c r="FG139" s="368">
        <f t="shared" si="255"/>
        <v>0.20897211427595336</v>
      </c>
      <c r="FH139" s="368">
        <f t="shared" si="255"/>
        <v>0.23760523854069224</v>
      </c>
      <c r="FI139" s="368">
        <f t="shared" si="255"/>
        <v>0.22956811349726422</v>
      </c>
      <c r="FJ139" s="368">
        <f aca="true" t="shared" si="256" ref="FJ139:FO139">FJ97/FJ91</f>
        <v>0.20534473318451754</v>
      </c>
      <c r="FK139" s="368">
        <f t="shared" si="256"/>
        <v>0.20709195864081364</v>
      </c>
      <c r="FL139" s="368">
        <f t="shared" si="256"/>
        <v>0.23021322732200938</v>
      </c>
      <c r="FM139" s="368">
        <f t="shared" si="256"/>
        <v>0.20355188347777944</v>
      </c>
      <c r="FN139" s="368">
        <f t="shared" si="256"/>
        <v>0.21113114015322218</v>
      </c>
      <c r="FO139" s="368">
        <f t="shared" si="256"/>
        <v>0.2763860035031977</v>
      </c>
      <c r="FP139" s="368">
        <f aca="true" t="shared" si="257" ref="FP139:FU139">FP97/FP91</f>
        <v>0.2533355060802966</v>
      </c>
      <c r="FQ139" s="368">
        <f t="shared" si="257"/>
        <v>0.25855809660547635</v>
      </c>
      <c r="FR139" s="368">
        <f t="shared" si="257"/>
        <v>0.26519279779541266</v>
      </c>
      <c r="FS139" s="368">
        <f>FS97/FS91</f>
        <v>0.25441681577919006</v>
      </c>
      <c r="FT139" s="368">
        <f>FT97/FT91</f>
        <v>0.22637431154525617</v>
      </c>
      <c r="FU139" s="368">
        <f t="shared" si="257"/>
        <v>0.2258051256756479</v>
      </c>
      <c r="FV139" s="372">
        <f aca="true" t="shared" si="258" ref="FV139:GA139">FV97/FV91</f>
        <v>0.25512358963013615</v>
      </c>
      <c r="FW139" s="372">
        <f t="shared" si="258"/>
        <v>0.2800078825500049</v>
      </c>
      <c r="FX139" s="372">
        <f t="shared" si="258"/>
        <v>0.2803441682600382</v>
      </c>
      <c r="FY139" s="372">
        <f t="shared" si="258"/>
        <v>0.24119607843137256</v>
      </c>
      <c r="FZ139" s="372">
        <f t="shared" si="258"/>
        <v>0.27106655420947706</v>
      </c>
      <c r="GA139" s="372">
        <f t="shared" si="258"/>
        <v>0.2688208424970394</v>
      </c>
      <c r="GB139" s="372">
        <f>GB97/GB91</f>
        <v>0.2705238023044269</v>
      </c>
      <c r="GC139" s="372">
        <f>GC97/GC91</f>
        <v>0.28220174872366643</v>
      </c>
      <c r="GD139" s="293"/>
    </row>
    <row r="140" spans="1:186" ht="15" customHeight="1">
      <c r="A140" s="3"/>
      <c r="B140" s="148" t="s">
        <v>17</v>
      </c>
      <c r="C140" s="336"/>
      <c r="D140" s="337">
        <f aca="true" t="shared" si="259" ref="D140:AI140">D90/D81</f>
        <v>1.0415500839395635</v>
      </c>
      <c r="E140" s="338">
        <f t="shared" si="259"/>
        <v>1.044953003677973</v>
      </c>
      <c r="F140" s="338">
        <f t="shared" si="259"/>
        <v>1.0716320716320715</v>
      </c>
      <c r="G140" s="338">
        <f t="shared" si="259"/>
        <v>1.0554490864954644</v>
      </c>
      <c r="H140" s="338">
        <f t="shared" si="259"/>
        <v>1.0180816668662436</v>
      </c>
      <c r="I140" s="338">
        <f t="shared" si="259"/>
        <v>1.0116124751161248</v>
      </c>
      <c r="J140" s="338">
        <f t="shared" si="259"/>
        <v>0.8926903650052416</v>
      </c>
      <c r="K140" s="338">
        <f t="shared" si="259"/>
        <v>0.9008632692843219</v>
      </c>
      <c r="L140" s="338">
        <f t="shared" si="259"/>
        <v>0.9015032740016601</v>
      </c>
      <c r="M140" s="338">
        <f t="shared" si="259"/>
        <v>0.889589905362776</v>
      </c>
      <c r="N140" s="338">
        <f t="shared" si="259"/>
        <v>0.8545863231607158</v>
      </c>
      <c r="O140" s="339">
        <f t="shared" si="259"/>
        <v>1.002864391521401</v>
      </c>
      <c r="P140" s="337">
        <f t="shared" si="259"/>
        <v>0.9666020922123209</v>
      </c>
      <c r="Q140" s="338">
        <f t="shared" si="259"/>
        <v>0.9171643913538111</v>
      </c>
      <c r="R140" s="338">
        <f t="shared" si="259"/>
        <v>0.9820779056141832</v>
      </c>
      <c r="S140" s="338">
        <f t="shared" si="259"/>
        <v>1.0371335658399683</v>
      </c>
      <c r="T140" s="338">
        <f t="shared" si="259"/>
        <v>1.0439045759370673</v>
      </c>
      <c r="U140" s="338">
        <f t="shared" si="259"/>
        <v>0.9967613206885141</v>
      </c>
      <c r="V140" s="338">
        <f t="shared" si="259"/>
        <v>1.0670518473468147</v>
      </c>
      <c r="W140" s="338">
        <f t="shared" si="259"/>
        <v>1.019749173037795</v>
      </c>
      <c r="X140" s="338">
        <f t="shared" si="259"/>
        <v>0.9961331412540754</v>
      </c>
      <c r="Y140" s="338">
        <f t="shared" si="259"/>
        <v>1.0624574669187146</v>
      </c>
      <c r="Z140" s="338">
        <f t="shared" si="259"/>
        <v>0.9725927011578485</v>
      </c>
      <c r="AA140" s="339">
        <f t="shared" si="259"/>
        <v>1.0644436389996375</v>
      </c>
      <c r="AB140" s="337">
        <f t="shared" si="259"/>
        <v>1.099136069114471</v>
      </c>
      <c r="AC140" s="338">
        <f t="shared" si="259"/>
        <v>1.1192362093352193</v>
      </c>
      <c r="AD140" s="338">
        <f t="shared" si="259"/>
        <v>1.154979253112033</v>
      </c>
      <c r="AE140" s="338">
        <f t="shared" si="259"/>
        <v>1.1509601585457527</v>
      </c>
      <c r="AF140" s="338">
        <f t="shared" si="259"/>
        <v>1.1337790428278283</v>
      </c>
      <c r="AG140" s="338">
        <f t="shared" si="259"/>
        <v>1.131633445508672</v>
      </c>
      <c r="AH140" s="338">
        <f t="shared" si="259"/>
        <v>1.1845417925478348</v>
      </c>
      <c r="AI140" s="338">
        <f t="shared" si="259"/>
        <v>1.22208951470958</v>
      </c>
      <c r="AJ140" s="338">
        <f aca="true" t="shared" si="260" ref="AJ140:BO140">AJ90/AJ81</f>
        <v>1.2157871340572808</v>
      </c>
      <c r="AK140" s="338">
        <f t="shared" si="260"/>
        <v>1.2306626354245402</v>
      </c>
      <c r="AL140" s="338">
        <f t="shared" si="260"/>
        <v>1.1934915912816466</v>
      </c>
      <c r="AM140" s="339">
        <f t="shared" si="260"/>
        <v>1.2031276753609954</v>
      </c>
      <c r="AN140" s="340">
        <f t="shared" si="260"/>
        <v>1.034484704819957</v>
      </c>
      <c r="AO140" s="341">
        <f t="shared" si="260"/>
        <v>1.0796898682523026</v>
      </c>
      <c r="AP140" s="341">
        <f t="shared" si="260"/>
        <v>1.0586068129003003</v>
      </c>
      <c r="AQ140" s="341">
        <f t="shared" si="260"/>
        <v>1.0367161269359906</v>
      </c>
      <c r="AR140" s="341">
        <f t="shared" si="260"/>
        <v>0.9330591259640103</v>
      </c>
      <c r="AS140" s="341">
        <f t="shared" si="260"/>
        <v>0.9200900945012975</v>
      </c>
      <c r="AT140" s="341">
        <f t="shared" si="260"/>
        <v>0.9797317585827244</v>
      </c>
      <c r="AU140" s="341">
        <f t="shared" si="260"/>
        <v>1.0092965448670146</v>
      </c>
      <c r="AV140" s="341">
        <f t="shared" si="260"/>
        <v>0.869154190461491</v>
      </c>
      <c r="AW140" s="341">
        <f t="shared" si="260"/>
        <v>0.8939261066839517</v>
      </c>
      <c r="AX140" s="341">
        <f t="shared" si="260"/>
        <v>0.8531171798498531</v>
      </c>
      <c r="AY140" s="342">
        <f t="shared" si="260"/>
        <v>0.9357123021382949</v>
      </c>
      <c r="AZ140" s="341">
        <f t="shared" si="260"/>
        <v>0.9050647742108259</v>
      </c>
      <c r="BA140" s="341">
        <f t="shared" si="260"/>
        <v>0.7789147000983284</v>
      </c>
      <c r="BB140" s="341">
        <f t="shared" si="260"/>
        <v>0.7757552169096734</v>
      </c>
      <c r="BC140" s="341">
        <f t="shared" si="260"/>
        <v>0.8251914193507562</v>
      </c>
      <c r="BD140" s="341">
        <f t="shared" si="260"/>
        <v>0.8032395515396936</v>
      </c>
      <c r="BE140" s="341">
        <f t="shared" si="260"/>
        <v>0.7799381110167867</v>
      </c>
      <c r="BF140" s="341">
        <f t="shared" si="260"/>
        <v>0.7777661877069915</v>
      </c>
      <c r="BG140" s="341">
        <f t="shared" si="260"/>
        <v>0.8024530949534847</v>
      </c>
      <c r="BH140" s="341">
        <f t="shared" si="260"/>
        <v>0.8786152142799276</v>
      </c>
      <c r="BI140" s="341">
        <f t="shared" si="260"/>
        <v>0.8114870997018021</v>
      </c>
      <c r="BJ140" s="341">
        <f t="shared" si="260"/>
        <v>0.8436973945378257</v>
      </c>
      <c r="BK140" s="342">
        <f t="shared" si="260"/>
        <v>0.8147646935299471</v>
      </c>
      <c r="BL140" s="343">
        <f t="shared" si="260"/>
        <v>0.8508982317531979</v>
      </c>
      <c r="BM140" s="341">
        <f t="shared" si="260"/>
        <v>0.8763817458285821</v>
      </c>
      <c r="BN140" s="341">
        <f t="shared" si="260"/>
        <v>0.8796183950705398</v>
      </c>
      <c r="BO140" s="341">
        <f t="shared" si="260"/>
        <v>0.8738725875157659</v>
      </c>
      <c r="BP140" s="341">
        <f aca="true" t="shared" si="261" ref="BP140:CU140">BP90/BP81</f>
        <v>0.8803477846593616</v>
      </c>
      <c r="BQ140" s="341">
        <f t="shared" si="261"/>
        <v>0.8970368437284999</v>
      </c>
      <c r="BR140" s="341">
        <f t="shared" si="261"/>
        <v>0.8932443319139142</v>
      </c>
      <c r="BS140" s="341">
        <f t="shared" si="261"/>
        <v>0.9692071011696906</v>
      </c>
      <c r="BT140" s="341">
        <f t="shared" si="261"/>
        <v>1.0343640957766815</v>
      </c>
      <c r="BU140" s="341">
        <f t="shared" si="261"/>
        <v>1.0076771376250175</v>
      </c>
      <c r="BV140" s="341">
        <f t="shared" si="261"/>
        <v>1.0038721503035857</v>
      </c>
      <c r="BW140" s="342">
        <f t="shared" si="261"/>
        <v>1.0037110669317428</v>
      </c>
      <c r="BX140" s="343">
        <f t="shared" si="261"/>
        <v>1.0797214888198323</v>
      </c>
      <c r="BY140" s="341">
        <f t="shared" si="261"/>
        <v>1.1071212895433642</v>
      </c>
      <c r="BZ140" s="341">
        <f t="shared" si="261"/>
        <v>1.2114840772162794</v>
      </c>
      <c r="CA140" s="341">
        <f t="shared" si="261"/>
        <v>1.2561675413213007</v>
      </c>
      <c r="CB140" s="341">
        <f t="shared" si="261"/>
        <v>1.234174712108875</v>
      </c>
      <c r="CC140" s="341">
        <f t="shared" si="261"/>
        <v>1.2451177100053505</v>
      </c>
      <c r="CD140" s="341">
        <f t="shared" si="261"/>
        <v>1.236779777320318</v>
      </c>
      <c r="CE140" s="341">
        <f t="shared" si="261"/>
        <v>1.2279616724738676</v>
      </c>
      <c r="CF140" s="341">
        <f t="shared" si="261"/>
        <v>1.2136842559806547</v>
      </c>
      <c r="CG140" s="341">
        <f t="shared" si="261"/>
        <v>1.2236839295248265</v>
      </c>
      <c r="CH140" s="341">
        <f t="shared" si="261"/>
        <v>1.2043164276698326</v>
      </c>
      <c r="CI140" s="342">
        <f t="shared" si="261"/>
        <v>1.1222077680728488</v>
      </c>
      <c r="CJ140" s="343">
        <f t="shared" si="261"/>
        <v>1.1752348189092034</v>
      </c>
      <c r="CK140" s="341">
        <f t="shared" si="261"/>
        <v>1.1966188606682158</v>
      </c>
      <c r="CL140" s="341">
        <f t="shared" si="261"/>
        <v>1.2084806384254378</v>
      </c>
      <c r="CM140" s="341">
        <f t="shared" si="261"/>
        <v>1.1179122495944467</v>
      </c>
      <c r="CN140" s="341">
        <f t="shared" si="261"/>
        <v>1.1337213725937763</v>
      </c>
      <c r="CO140" s="341">
        <f t="shared" si="261"/>
        <v>1.169377990430622</v>
      </c>
      <c r="CP140" s="341">
        <f t="shared" si="261"/>
        <v>1.1795350539996339</v>
      </c>
      <c r="CQ140" s="341">
        <f t="shared" si="261"/>
        <v>1.1766034327009938</v>
      </c>
      <c r="CR140" s="341">
        <f t="shared" si="261"/>
        <v>1.1786929761042724</v>
      </c>
      <c r="CS140" s="341">
        <f t="shared" si="261"/>
        <v>1.1790693590869183</v>
      </c>
      <c r="CT140" s="341">
        <f t="shared" si="261"/>
        <v>1.1845332142611802</v>
      </c>
      <c r="CU140" s="342">
        <f t="shared" si="261"/>
        <v>1.229650073256329</v>
      </c>
      <c r="CV140" s="341">
        <f aca="true" t="shared" si="262" ref="CV140:EA140">CV90/CV81</f>
        <v>1.2433062320980626</v>
      </c>
      <c r="CW140" s="341">
        <f t="shared" si="262"/>
        <v>1.2453086899671344</v>
      </c>
      <c r="CX140" s="341">
        <f t="shared" si="262"/>
        <v>1.2741036843129279</v>
      </c>
      <c r="CY140" s="341">
        <f t="shared" si="262"/>
        <v>1.2318632043903093</v>
      </c>
      <c r="CZ140" s="341">
        <f t="shared" si="262"/>
        <v>1.195365460769179</v>
      </c>
      <c r="DA140" s="341">
        <f t="shared" si="262"/>
        <v>1.1696182152713892</v>
      </c>
      <c r="DB140" s="344">
        <f t="shared" si="262"/>
        <v>1.1833813736209124</v>
      </c>
      <c r="DC140" s="345">
        <f t="shared" si="262"/>
        <v>1.194427479656009</v>
      </c>
      <c r="DD140" s="346">
        <f t="shared" si="262"/>
        <v>1.2079694049666827</v>
      </c>
      <c r="DE140" s="346">
        <f t="shared" si="262"/>
        <v>1.200273264523351</v>
      </c>
      <c r="DF140" s="347">
        <f t="shared" si="262"/>
        <v>1.1940388501401473</v>
      </c>
      <c r="DG140" s="348">
        <f t="shared" si="262"/>
        <v>1.190484453629064</v>
      </c>
      <c r="DH140" s="349">
        <f t="shared" si="262"/>
        <v>1.2213160990861767</v>
      </c>
      <c r="DI140" s="347">
        <f t="shared" si="262"/>
        <v>1.2015935758971645</v>
      </c>
      <c r="DJ140" s="347">
        <f t="shared" si="262"/>
        <v>1.2023813172331361</v>
      </c>
      <c r="DK140" s="345">
        <f t="shared" si="262"/>
        <v>1.2094806861255734</v>
      </c>
      <c r="DL140" s="345">
        <f t="shared" si="262"/>
        <v>1.1969451046316155</v>
      </c>
      <c r="DM140" s="345">
        <f t="shared" si="262"/>
        <v>1.2110639522336522</v>
      </c>
      <c r="DN140" s="345">
        <f t="shared" si="262"/>
        <v>1.2195864721910563</v>
      </c>
      <c r="DO140" s="345">
        <f t="shared" si="262"/>
        <v>1.1871984838042728</v>
      </c>
      <c r="DP140" s="345">
        <f t="shared" si="262"/>
        <v>1.2023743591928315</v>
      </c>
      <c r="DQ140" s="345">
        <f t="shared" si="262"/>
        <v>1.211260992060104</v>
      </c>
      <c r="DR140" s="345">
        <f t="shared" si="262"/>
        <v>1.2028799503554102</v>
      </c>
      <c r="DS140" s="350">
        <f t="shared" si="262"/>
        <v>1.1968358836456954</v>
      </c>
      <c r="DT140" s="351">
        <f t="shared" si="262"/>
        <v>1.2440344023159728</v>
      </c>
      <c r="DU140" s="345">
        <f t="shared" si="262"/>
        <v>1.2191075273356693</v>
      </c>
      <c r="DV140" s="345">
        <f t="shared" si="262"/>
        <v>1.2240518821373185</v>
      </c>
      <c r="DW140" s="345">
        <f t="shared" si="262"/>
        <v>1.277718867568235</v>
      </c>
      <c r="DX140" s="345">
        <f t="shared" si="262"/>
        <v>1.281337996858049</v>
      </c>
      <c r="DY140" s="345">
        <f t="shared" si="262"/>
        <v>1.3394647277227723</v>
      </c>
      <c r="DZ140" s="345">
        <f t="shared" si="262"/>
        <v>1.2859605947626696</v>
      </c>
      <c r="EA140" s="345">
        <f t="shared" si="262"/>
        <v>1.3006216228420056</v>
      </c>
      <c r="EB140" s="345">
        <f aca="true" t="shared" si="263" ref="EB140:ER140">EB90/EB81</f>
        <v>1.2962326229362422</v>
      </c>
      <c r="EC140" s="345">
        <f t="shared" si="263"/>
        <v>1.3266237251744497</v>
      </c>
      <c r="ED140" s="352">
        <f t="shared" si="263"/>
        <v>1.3268566949548544</v>
      </c>
      <c r="EE140" s="353">
        <f t="shared" si="263"/>
        <v>1.3698721142667332</v>
      </c>
      <c r="EF140" s="354">
        <f t="shared" si="263"/>
        <v>1.4356953216470705</v>
      </c>
      <c r="EG140" s="355">
        <f t="shared" si="263"/>
        <v>1.4061636104886068</v>
      </c>
      <c r="EH140" s="355">
        <f t="shared" si="263"/>
        <v>1.3899020205334958</v>
      </c>
      <c r="EI140" s="355">
        <f t="shared" si="263"/>
        <v>1.3868722876627402</v>
      </c>
      <c r="EJ140" s="355">
        <f t="shared" si="263"/>
        <v>1.3988607946651848</v>
      </c>
      <c r="EK140" s="355">
        <f>EK90/EK81</f>
        <v>1.4209391546973589</v>
      </c>
      <c r="EL140" s="355">
        <f t="shared" si="263"/>
        <v>1.45750452079566</v>
      </c>
      <c r="EM140" s="355">
        <f t="shared" si="263"/>
        <v>1.4475702892673696</v>
      </c>
      <c r="EN140" s="355">
        <f t="shared" si="263"/>
        <v>1.4480050320452884</v>
      </c>
      <c r="EO140" s="355">
        <f t="shared" si="263"/>
        <v>1.4493715262932878</v>
      </c>
      <c r="EP140" s="355">
        <f t="shared" si="263"/>
        <v>1.4270768807213159</v>
      </c>
      <c r="EQ140" s="353">
        <f t="shared" si="263"/>
        <v>1.4268069375345496</v>
      </c>
      <c r="ER140" s="354">
        <f t="shared" si="263"/>
        <v>1.4687210874670842</v>
      </c>
      <c r="ES140" s="355">
        <f aca="true" t="shared" si="264" ref="ES140:EX140">ES90/ES81</f>
        <v>1.4578019798535118</v>
      </c>
      <c r="ET140" s="355">
        <f t="shared" si="264"/>
        <v>1.4479940312680164</v>
      </c>
      <c r="EU140" s="355">
        <f t="shared" si="264"/>
        <v>1.4499649052441592</v>
      </c>
      <c r="EV140" s="355">
        <f t="shared" si="264"/>
        <v>1.4563442368381505</v>
      </c>
      <c r="EW140" s="355">
        <f t="shared" si="264"/>
        <v>1.440418465626038</v>
      </c>
      <c r="EX140" s="355">
        <f t="shared" si="264"/>
        <v>1.4283733976972504</v>
      </c>
      <c r="EY140" s="355">
        <f aca="true" t="shared" si="265" ref="EY140:FD140">EY90/EY81</f>
        <v>1.4736295750594381</v>
      </c>
      <c r="EZ140" s="355">
        <f t="shared" si="265"/>
        <v>1.4538130158834555</v>
      </c>
      <c r="FA140" s="355">
        <f t="shared" si="265"/>
        <v>1.4212394520724763</v>
      </c>
      <c r="FB140" s="355">
        <f t="shared" si="265"/>
        <v>1.421586700817332</v>
      </c>
      <c r="FC140" s="353">
        <f t="shared" si="265"/>
        <v>1.4072630250355482</v>
      </c>
      <c r="FD140" s="369">
        <f t="shared" si="265"/>
        <v>1.4257318803198349</v>
      </c>
      <c r="FE140" s="369">
        <f aca="true" t="shared" si="266" ref="FE140:FJ140">FE90/FE81</f>
        <v>1.4355364359275193</v>
      </c>
      <c r="FF140" s="369">
        <f t="shared" si="266"/>
        <v>1.451818181818182</v>
      </c>
      <c r="FG140" s="369">
        <f t="shared" si="266"/>
        <v>1.4917278461379382</v>
      </c>
      <c r="FH140" s="369">
        <f t="shared" si="266"/>
        <v>1.503369155810498</v>
      </c>
      <c r="FI140" s="369">
        <f t="shared" si="266"/>
        <v>1.4946498967523936</v>
      </c>
      <c r="FJ140" s="369">
        <f t="shared" si="266"/>
        <v>1.5368439286332929</v>
      </c>
      <c r="FK140" s="369">
        <f aca="true" t="shared" si="267" ref="FK140:FP140">FK90/FK81</f>
        <v>1.54236725856861</v>
      </c>
      <c r="FL140" s="369">
        <f t="shared" si="267"/>
        <v>1.5271787374027466</v>
      </c>
      <c r="FM140" s="369">
        <f t="shared" si="267"/>
        <v>1.5551375332741793</v>
      </c>
      <c r="FN140" s="369">
        <f t="shared" si="267"/>
        <v>1.5584625379712385</v>
      </c>
      <c r="FO140" s="369">
        <f t="shared" si="267"/>
        <v>1.4782170363269758</v>
      </c>
      <c r="FP140" s="369">
        <f t="shared" si="267"/>
        <v>1.521786998331355</v>
      </c>
      <c r="FQ140" s="369">
        <f aca="true" t="shared" si="268" ref="FQ140:FX140">FQ90/FQ81</f>
        <v>1.5365815172607256</v>
      </c>
      <c r="FR140" s="369">
        <f t="shared" si="268"/>
        <v>1.5300341478087014</v>
      </c>
      <c r="FS140" s="369">
        <f t="shared" si="268"/>
        <v>1.5439080869255433</v>
      </c>
      <c r="FT140" s="369">
        <f t="shared" si="268"/>
        <v>1.5229756234239282</v>
      </c>
      <c r="FU140" s="369">
        <f t="shared" si="268"/>
        <v>1.509367140584099</v>
      </c>
      <c r="FV140" s="369">
        <f t="shared" si="268"/>
        <v>1.5115059221658207</v>
      </c>
      <c r="FW140" s="369">
        <f t="shared" si="268"/>
        <v>1.4900351699882766</v>
      </c>
      <c r="FX140" s="369">
        <f t="shared" si="268"/>
        <v>1.5043611773545458</v>
      </c>
      <c r="FY140" s="369">
        <f>FY90/FY81</f>
        <v>1.5034912185584963</v>
      </c>
      <c r="FZ140" s="369">
        <f>FZ90/FZ81</f>
        <v>1.4629982834255197</v>
      </c>
      <c r="GA140" s="369">
        <f>GA90/GA81</f>
        <v>1.5077643499670115</v>
      </c>
      <c r="GB140" s="469">
        <f>GB90/GB81</f>
        <v>1.4627730006540849</v>
      </c>
      <c r="GC140" s="469">
        <f>GC90/GC81</f>
        <v>1.4794432168260778</v>
      </c>
      <c r="GD140" s="395"/>
    </row>
    <row r="141" spans="1:172" ht="15" customHeight="1">
      <c r="A141" s="3"/>
      <c r="B141" s="90"/>
      <c r="BC141" s="47"/>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57"/>
      <c r="CS141" s="57"/>
      <c r="CT141" s="57"/>
      <c r="CU141" s="57"/>
      <c r="CV141" s="28"/>
      <c r="CW141" s="28"/>
      <c r="CX141" s="28"/>
      <c r="CY141" s="28"/>
      <c r="CZ141" s="28"/>
      <c r="DA141" s="28"/>
      <c r="DB141" s="28"/>
      <c r="DC141" s="28"/>
      <c r="DD141" s="28"/>
      <c r="DE141" s="28"/>
      <c r="DF141" s="28"/>
      <c r="DG141" s="28"/>
      <c r="DH141" s="3"/>
      <c r="DI141" s="49"/>
      <c r="DJ141" s="3"/>
      <c r="DK141" s="3"/>
      <c r="DL141" s="3"/>
      <c r="DM141" s="3"/>
      <c r="DN141" s="3"/>
      <c r="DU141" s="3"/>
      <c r="DV141" s="3"/>
      <c r="DW141" s="3"/>
      <c r="DX141" s="3"/>
      <c r="DY141" s="3"/>
      <c r="DZ141" s="3"/>
      <c r="EA141" s="3"/>
      <c r="EB141" s="3"/>
      <c r="ED141" s="3"/>
      <c r="EE141" s="3"/>
      <c r="EK141" s="335"/>
      <c r="FP141" s="3"/>
    </row>
    <row r="142" spans="2:172" ht="15" customHeight="1">
      <c r="B142" s="3"/>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57"/>
      <c r="CS142" s="57"/>
      <c r="CT142" s="57"/>
      <c r="CU142" s="57"/>
      <c r="CV142" s="28"/>
      <c r="CW142" s="28"/>
      <c r="CX142" s="28"/>
      <c r="CY142" s="28"/>
      <c r="CZ142" s="28"/>
      <c r="DA142" s="28"/>
      <c r="DB142" s="28"/>
      <c r="DC142" s="28"/>
      <c r="DD142" s="28"/>
      <c r="DE142" s="28"/>
      <c r="DF142" s="28"/>
      <c r="DG142" s="28"/>
      <c r="DH142" s="3"/>
      <c r="DI142" s="3"/>
      <c r="DJ142" s="3"/>
      <c r="DK142" s="3"/>
      <c r="DL142" s="3"/>
      <c r="DM142" s="3"/>
      <c r="DN142" s="3"/>
      <c r="EE142" s="335"/>
      <c r="FP142" s="3"/>
    </row>
    <row r="143" spans="2:172" ht="15" customHeight="1">
      <c r="B143" s="3"/>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50"/>
      <c r="AX143" s="30"/>
      <c r="AY143" s="30"/>
      <c r="AZ143" s="30"/>
      <c r="BA143" s="30"/>
      <c r="BB143" s="30"/>
      <c r="BC143" s="30"/>
      <c r="CV143" s="10"/>
      <c r="CW143" s="10"/>
      <c r="CX143" s="10"/>
      <c r="CY143" s="10"/>
      <c r="CZ143" s="10"/>
      <c r="DA143" s="10"/>
      <c r="DB143" s="10"/>
      <c r="DC143" s="10"/>
      <c r="DD143" s="10"/>
      <c r="DE143" s="10"/>
      <c r="DF143" s="10"/>
      <c r="DG143" s="10"/>
      <c r="DH143" s="3"/>
      <c r="DI143" s="3"/>
      <c r="DJ143" s="3"/>
      <c r="DK143" s="3"/>
      <c r="DL143" s="3"/>
      <c r="DM143" s="3"/>
      <c r="DN143" s="3"/>
      <c r="DS143" s="114"/>
      <c r="FP143" s="3"/>
    </row>
    <row r="144" spans="2:172" ht="15" customHeight="1">
      <c r="B144" s="3"/>
      <c r="CV144" s="10"/>
      <c r="CW144" s="10"/>
      <c r="CX144" s="10"/>
      <c r="CY144" s="10"/>
      <c r="CZ144" s="10"/>
      <c r="DA144" s="10"/>
      <c r="DB144" s="10"/>
      <c r="DC144" s="10"/>
      <c r="DD144" s="10"/>
      <c r="DE144" s="10"/>
      <c r="DF144" s="10"/>
      <c r="DG144" s="10"/>
      <c r="DH144" s="3"/>
      <c r="DI144" s="3"/>
      <c r="DJ144" s="3"/>
      <c r="DK144" s="3"/>
      <c r="DL144" s="3"/>
      <c r="DM144" s="3"/>
      <c r="DN144" s="3"/>
      <c r="FP144" s="3"/>
    </row>
    <row r="145" spans="2:172" ht="15" customHeight="1">
      <c r="B145" s="3"/>
      <c r="CV145" s="10"/>
      <c r="CW145" s="10"/>
      <c r="CX145" s="10"/>
      <c r="CY145" s="10"/>
      <c r="CZ145" s="10"/>
      <c r="DA145" s="10"/>
      <c r="DB145" s="10"/>
      <c r="DC145" s="10"/>
      <c r="DD145" s="10"/>
      <c r="DE145" s="10"/>
      <c r="DF145" s="10"/>
      <c r="DG145" s="10"/>
      <c r="DH145" s="3"/>
      <c r="DI145" s="3"/>
      <c r="DJ145" s="3"/>
      <c r="DK145" s="3"/>
      <c r="DL145" s="3"/>
      <c r="DM145" s="3"/>
      <c r="DN145" s="3"/>
      <c r="FP145" s="3"/>
    </row>
    <row r="146" spans="2:172" ht="15" customHeight="1">
      <c r="B146" s="3"/>
      <c r="CV146" s="10"/>
      <c r="CW146" s="10"/>
      <c r="CX146" s="10"/>
      <c r="CY146" s="10"/>
      <c r="CZ146" s="10"/>
      <c r="DA146" s="10"/>
      <c r="DB146" s="10"/>
      <c r="DC146" s="10"/>
      <c r="DD146" s="10"/>
      <c r="DE146" s="10"/>
      <c r="DF146" s="10"/>
      <c r="DG146" s="10"/>
      <c r="DH146" s="3"/>
      <c r="DI146" s="3"/>
      <c r="DJ146" s="3"/>
      <c r="DK146" s="3"/>
      <c r="DL146" s="3"/>
      <c r="DM146" s="3"/>
      <c r="DN146" s="3"/>
      <c r="FP146" s="3"/>
    </row>
    <row r="147" spans="2:172" ht="15" customHeight="1">
      <c r="B147" s="3"/>
      <c r="CV147" s="10"/>
      <c r="CW147" s="10"/>
      <c r="CX147" s="10"/>
      <c r="CY147" s="10"/>
      <c r="CZ147" s="10"/>
      <c r="DA147" s="10"/>
      <c r="DB147" s="10"/>
      <c r="DC147" s="10"/>
      <c r="DD147" s="10"/>
      <c r="DE147" s="10"/>
      <c r="DF147" s="10"/>
      <c r="DG147" s="10"/>
      <c r="DH147" s="3"/>
      <c r="DI147" s="3"/>
      <c r="DJ147" s="3"/>
      <c r="DK147" s="3"/>
      <c r="DL147" s="3"/>
      <c r="DM147" s="3"/>
      <c r="DN147" s="3"/>
      <c r="FP147" s="3"/>
    </row>
    <row r="148" spans="2:172" ht="15" customHeight="1">
      <c r="B148" s="3"/>
      <c r="CV148" s="10"/>
      <c r="CW148" s="10"/>
      <c r="CX148" s="10"/>
      <c r="CY148" s="10"/>
      <c r="CZ148" s="10"/>
      <c r="DA148" s="10"/>
      <c r="DB148" s="10"/>
      <c r="DC148" s="10"/>
      <c r="DD148" s="10"/>
      <c r="DE148" s="10"/>
      <c r="DF148" s="10"/>
      <c r="DG148" s="10"/>
      <c r="DH148" s="3"/>
      <c r="DI148" s="3"/>
      <c r="DJ148" s="3"/>
      <c r="DK148" s="3"/>
      <c r="DL148" s="3"/>
      <c r="DM148" s="3"/>
      <c r="DN148" s="3"/>
      <c r="FP148" s="3"/>
    </row>
    <row r="149" spans="2:172" ht="15" customHeight="1">
      <c r="B149" s="3"/>
      <c r="CV149" s="10"/>
      <c r="CW149" s="10"/>
      <c r="CX149" s="10"/>
      <c r="CY149" s="10"/>
      <c r="CZ149" s="10"/>
      <c r="DA149" s="10"/>
      <c r="DB149" s="10"/>
      <c r="DC149" s="10"/>
      <c r="DD149" s="10"/>
      <c r="DE149" s="10"/>
      <c r="DF149" s="10"/>
      <c r="DG149" s="10"/>
      <c r="DH149" s="3"/>
      <c r="DI149" s="3"/>
      <c r="DJ149" s="3"/>
      <c r="DK149" s="3"/>
      <c r="DL149" s="3"/>
      <c r="DM149" s="3"/>
      <c r="DN149" s="3"/>
      <c r="FP149" s="3"/>
    </row>
    <row r="150" spans="2:172" ht="15" customHeight="1">
      <c r="B150" s="3"/>
      <c r="CV150" s="10"/>
      <c r="CW150" s="10"/>
      <c r="CX150" s="10"/>
      <c r="CY150" s="10"/>
      <c r="CZ150" s="10"/>
      <c r="DA150" s="10"/>
      <c r="DB150" s="10"/>
      <c r="DC150" s="10"/>
      <c r="DD150" s="10"/>
      <c r="DE150" s="10"/>
      <c r="DF150" s="10"/>
      <c r="DG150" s="10"/>
      <c r="DH150" s="3"/>
      <c r="DI150" s="3"/>
      <c r="DJ150" s="3"/>
      <c r="DK150" s="3"/>
      <c r="DL150" s="3"/>
      <c r="DM150" s="3"/>
      <c r="DN150" s="3"/>
      <c r="FP150" s="3"/>
    </row>
    <row r="151" spans="2:172" ht="15" customHeight="1">
      <c r="B151" s="3"/>
      <c r="CV151" s="10"/>
      <c r="CW151" s="10"/>
      <c r="CX151" s="10"/>
      <c r="CY151" s="10"/>
      <c r="CZ151" s="10"/>
      <c r="DA151" s="10"/>
      <c r="DB151" s="10"/>
      <c r="DC151" s="10"/>
      <c r="DD151" s="10"/>
      <c r="DE151" s="10"/>
      <c r="DF151" s="10"/>
      <c r="DG151" s="10"/>
      <c r="DH151" s="3"/>
      <c r="DI151" s="3"/>
      <c r="DJ151" s="3"/>
      <c r="DK151" s="3"/>
      <c r="DL151" s="3"/>
      <c r="DM151" s="3"/>
      <c r="DN151" s="3"/>
      <c r="FP151" s="3"/>
    </row>
    <row r="152" spans="2:172" ht="15" customHeight="1">
      <c r="B152" s="3"/>
      <c r="DH152" s="3"/>
      <c r="DI152" s="3"/>
      <c r="DJ152" s="3"/>
      <c r="DK152" s="3"/>
      <c r="DL152" s="3"/>
      <c r="DM152" s="3"/>
      <c r="DN152" s="3"/>
      <c r="FP152" s="3"/>
    </row>
    <row r="153" spans="2:172" ht="15" customHeight="1">
      <c r="B153" s="3"/>
      <c r="DH153" s="3"/>
      <c r="DI153" s="3"/>
      <c r="DJ153" s="3"/>
      <c r="DK153" s="3"/>
      <c r="DL153" s="3"/>
      <c r="DM153" s="3"/>
      <c r="DN153" s="3"/>
      <c r="FP153" s="3"/>
    </row>
    <row r="154" spans="2:172" ht="15" customHeight="1">
      <c r="B154" s="3"/>
      <c r="DH154" s="3"/>
      <c r="DI154" s="3"/>
      <c r="DJ154" s="3"/>
      <c r="DK154" s="3"/>
      <c r="DL154" s="3"/>
      <c r="DM154" s="3"/>
      <c r="DN154" s="3"/>
      <c r="FP154" s="3"/>
    </row>
    <row r="155" spans="2:172" ht="15" customHeight="1">
      <c r="B155" s="3"/>
      <c r="DH155" s="3"/>
      <c r="DI155" s="3"/>
      <c r="DJ155" s="3"/>
      <c r="DK155" s="3"/>
      <c r="DL155" s="3"/>
      <c r="DM155" s="3"/>
      <c r="DN155" s="3"/>
      <c r="FP155" s="3"/>
    </row>
    <row r="156" spans="2:172" ht="15" customHeight="1">
      <c r="B156" s="3"/>
      <c r="DH156" s="3"/>
      <c r="DI156" s="3"/>
      <c r="DJ156" s="3"/>
      <c r="DK156" s="3"/>
      <c r="DL156" s="3"/>
      <c r="DM156" s="3"/>
      <c r="DN156" s="3"/>
      <c r="FP156" s="3"/>
    </row>
    <row r="157" spans="2:172" ht="15" customHeight="1">
      <c r="B157" s="3"/>
      <c r="DH157" s="3"/>
      <c r="DI157" s="3"/>
      <c r="DJ157" s="3"/>
      <c r="DK157" s="3"/>
      <c r="DL157" s="3"/>
      <c r="DM157" s="3"/>
      <c r="DN157" s="3"/>
      <c r="FP157" s="3"/>
    </row>
    <row r="158" spans="2:172" ht="15" customHeight="1">
      <c r="B158" s="3"/>
      <c r="DH158" s="3"/>
      <c r="DI158" s="3"/>
      <c r="DJ158" s="3"/>
      <c r="DK158" s="3"/>
      <c r="DL158" s="3"/>
      <c r="DM158" s="3"/>
      <c r="DN158" s="3"/>
      <c r="FP158" s="3"/>
    </row>
    <row r="159" spans="2:172" ht="15" customHeight="1">
      <c r="B159" s="3"/>
      <c r="DH159" s="3"/>
      <c r="DI159" s="3"/>
      <c r="DJ159" s="3"/>
      <c r="DK159" s="3"/>
      <c r="DL159" s="3"/>
      <c r="DM159" s="3"/>
      <c r="DN159" s="3"/>
      <c r="FP159" s="3"/>
    </row>
    <row r="160" spans="2:172" ht="15" customHeight="1">
      <c r="B160" s="3"/>
      <c r="DH160" s="3"/>
      <c r="DI160" s="3"/>
      <c r="DJ160" s="3"/>
      <c r="DK160" s="3"/>
      <c r="DL160" s="3"/>
      <c r="DM160" s="3"/>
      <c r="DN160" s="3"/>
      <c r="FP160" s="3"/>
    </row>
    <row r="161" spans="2:172" ht="15" customHeight="1">
      <c r="B161" s="3"/>
      <c r="DH161" s="3"/>
      <c r="DI161" s="3"/>
      <c r="DJ161" s="3"/>
      <c r="DK161" s="3"/>
      <c r="DL161" s="3"/>
      <c r="DM161" s="3"/>
      <c r="DN161" s="3"/>
      <c r="FP161" s="3"/>
    </row>
    <row r="162" spans="2:172" ht="15" customHeight="1">
      <c r="B162" s="3"/>
      <c r="DH162" s="3"/>
      <c r="DI162" s="3"/>
      <c r="DJ162" s="3"/>
      <c r="DK162" s="3"/>
      <c r="DL162" s="3"/>
      <c r="DM162" s="3"/>
      <c r="DN162" s="3"/>
      <c r="FP162" s="3"/>
    </row>
    <row r="163" spans="2:172" ht="15" customHeight="1">
      <c r="B163" s="3"/>
      <c r="DH163" s="3"/>
      <c r="DI163" s="3"/>
      <c r="DJ163" s="3"/>
      <c r="DK163" s="3"/>
      <c r="DL163" s="3"/>
      <c r="DM163" s="3"/>
      <c r="DN163" s="3"/>
      <c r="FP163" s="3"/>
    </row>
    <row r="164" spans="2:172" ht="15" customHeight="1">
      <c r="B164" s="3"/>
      <c r="DH164" s="3"/>
      <c r="DI164" s="3"/>
      <c r="DJ164" s="3"/>
      <c r="DK164" s="3"/>
      <c r="DL164" s="3"/>
      <c r="DM164" s="3"/>
      <c r="DN164" s="3"/>
      <c r="FP164" s="3"/>
    </row>
    <row r="165" spans="2:172" ht="15" customHeight="1">
      <c r="B165" s="3"/>
      <c r="DH165" s="3"/>
      <c r="DI165" s="3"/>
      <c r="DJ165" s="3"/>
      <c r="DK165" s="3"/>
      <c r="DL165" s="3"/>
      <c r="DM165" s="3"/>
      <c r="DN165" s="3"/>
      <c r="FP165" s="3"/>
    </row>
    <row r="166" spans="2:172" ht="15" customHeight="1">
      <c r="B166" s="3"/>
      <c r="DH166" s="3"/>
      <c r="DI166" s="3"/>
      <c r="DJ166" s="3"/>
      <c r="DK166" s="3"/>
      <c r="DL166" s="3"/>
      <c r="DM166" s="3"/>
      <c r="DN166" s="3"/>
      <c r="FP166" s="3"/>
    </row>
    <row r="167" spans="2:172" ht="15" customHeight="1">
      <c r="B167" s="3"/>
      <c r="DH167" s="3"/>
      <c r="DI167" s="3"/>
      <c r="DJ167" s="3"/>
      <c r="DK167" s="3"/>
      <c r="DL167" s="3"/>
      <c r="DM167" s="3"/>
      <c r="DN167" s="3"/>
      <c r="FP167" s="3"/>
    </row>
    <row r="168" spans="2:172" ht="15" customHeight="1">
      <c r="B168" s="3"/>
      <c r="DH168" s="3"/>
      <c r="DI168" s="3"/>
      <c r="DJ168" s="3"/>
      <c r="DK168" s="3"/>
      <c r="DL168" s="3"/>
      <c r="DM168" s="3"/>
      <c r="DN168" s="3"/>
      <c r="FP168" s="3"/>
    </row>
    <row r="169" spans="2:172" ht="15" customHeight="1">
      <c r="B169" s="3"/>
      <c r="DH169" s="3"/>
      <c r="DI169" s="3"/>
      <c r="DJ169" s="3"/>
      <c r="DK169" s="3"/>
      <c r="DL169" s="3"/>
      <c r="DM169" s="3"/>
      <c r="DN169" s="3"/>
      <c r="FP169" s="3"/>
    </row>
    <row r="170" spans="2:172" ht="15" customHeight="1">
      <c r="B170" s="3"/>
      <c r="DH170" s="3"/>
      <c r="DI170" s="3"/>
      <c r="DJ170" s="3"/>
      <c r="DK170" s="3"/>
      <c r="DL170" s="3"/>
      <c r="DM170" s="3"/>
      <c r="DN170" s="3"/>
      <c r="FP170" s="3"/>
    </row>
    <row r="171" spans="2:172" ht="15" customHeight="1">
      <c r="B171" s="3"/>
      <c r="DH171" s="3"/>
      <c r="DI171" s="3"/>
      <c r="DJ171" s="3"/>
      <c r="DK171" s="3"/>
      <c r="DL171" s="3"/>
      <c r="DM171" s="3"/>
      <c r="DN171" s="3"/>
      <c r="FP171" s="3"/>
    </row>
    <row r="172" spans="2:172" ht="15" customHeight="1">
      <c r="B172" s="3"/>
      <c r="DH172" s="3"/>
      <c r="DI172" s="3"/>
      <c r="DJ172" s="3"/>
      <c r="DK172" s="3"/>
      <c r="DL172" s="3"/>
      <c r="DM172" s="3"/>
      <c r="DN172" s="3"/>
      <c r="FP172" s="3"/>
    </row>
    <row r="173" spans="2:172" ht="15" customHeight="1">
      <c r="B173" s="3"/>
      <c r="DH173" s="3"/>
      <c r="DI173" s="3"/>
      <c r="DJ173" s="3"/>
      <c r="DK173" s="3"/>
      <c r="DL173" s="3"/>
      <c r="DM173" s="3"/>
      <c r="DN173" s="3"/>
      <c r="FP173" s="3"/>
    </row>
    <row r="174" spans="2:172" ht="15" customHeight="1">
      <c r="B174" s="3"/>
      <c r="DH174" s="3"/>
      <c r="DI174" s="3"/>
      <c r="DJ174" s="3"/>
      <c r="DK174" s="3"/>
      <c r="DL174" s="3"/>
      <c r="DM174" s="3"/>
      <c r="DN174" s="3"/>
      <c r="FP174" s="3"/>
    </row>
    <row r="175" spans="2:172" ht="15" customHeight="1">
      <c r="B175" s="3"/>
      <c r="DH175" s="3"/>
      <c r="DI175" s="3"/>
      <c r="DJ175" s="3"/>
      <c r="DK175" s="3"/>
      <c r="DL175" s="3"/>
      <c r="DM175" s="3"/>
      <c r="DN175" s="3"/>
      <c r="FP175" s="3"/>
    </row>
    <row r="176" spans="2:172" ht="15" customHeight="1">
      <c r="B176" s="3"/>
      <c r="DH176" s="3"/>
      <c r="DI176" s="3"/>
      <c r="DJ176" s="3"/>
      <c r="DK176" s="3"/>
      <c r="DL176" s="3"/>
      <c r="DM176" s="3"/>
      <c r="DN176" s="3"/>
      <c r="FP176" s="3"/>
    </row>
    <row r="177" spans="2:172" ht="15" customHeight="1">
      <c r="B177" s="3"/>
      <c r="DH177" s="3"/>
      <c r="DI177" s="3"/>
      <c r="DJ177" s="3"/>
      <c r="DK177" s="3"/>
      <c r="DL177" s="3"/>
      <c r="DM177" s="3"/>
      <c r="DN177" s="3"/>
      <c r="FP177" s="3"/>
    </row>
    <row r="178" spans="2:172" ht="15" customHeight="1">
      <c r="B178" s="3"/>
      <c r="FP178" s="3"/>
    </row>
    <row r="179" spans="2:172" ht="15" customHeight="1">
      <c r="B179" s="3"/>
      <c r="FP179" s="3"/>
    </row>
    <row r="180" spans="2:172" ht="15" customHeight="1">
      <c r="B180" s="3"/>
      <c r="FP180" s="3"/>
    </row>
    <row r="181" spans="2:172" ht="15" customHeight="1">
      <c r="B181" s="3"/>
      <c r="FP181" s="3"/>
    </row>
    <row r="182" spans="2:172" ht="15" customHeight="1">
      <c r="B182" s="3"/>
      <c r="FP182" s="3"/>
    </row>
    <row r="183" spans="2:172" ht="15" customHeight="1">
      <c r="B183" s="3"/>
      <c r="FP183" s="3"/>
    </row>
    <row r="184" spans="2:172" ht="15" customHeight="1">
      <c r="B184" s="3"/>
      <c r="FP184" s="3"/>
    </row>
    <row r="185" spans="2:172" ht="15" customHeight="1">
      <c r="B185" s="3"/>
      <c r="FP185" s="3"/>
    </row>
    <row r="186" spans="2:172" ht="15" customHeight="1">
      <c r="B186" s="3"/>
      <c r="FP186" s="3"/>
    </row>
    <row r="187" spans="2:172" ht="15" customHeight="1">
      <c r="B187" s="3"/>
      <c r="FP187" s="3"/>
    </row>
    <row r="188" spans="2:172" ht="15" customHeight="1">
      <c r="B188" s="3"/>
      <c r="FP188" s="3"/>
    </row>
    <row r="189" spans="2:172" ht="15" customHeight="1">
      <c r="B189" s="3"/>
      <c r="FP189" s="3"/>
    </row>
    <row r="190" spans="2:172" ht="15" customHeight="1">
      <c r="B190" s="3"/>
      <c r="FP190" s="3"/>
    </row>
    <row r="191" spans="2:172" ht="15" customHeight="1">
      <c r="B191" s="3"/>
      <c r="FP191" s="3"/>
    </row>
    <row r="192" spans="2:172" ht="15" customHeight="1">
      <c r="B192" s="3"/>
      <c r="FP192" s="3"/>
    </row>
    <row r="193" spans="2:172" ht="15" customHeight="1">
      <c r="B193" s="3"/>
      <c r="FP193" s="3"/>
    </row>
    <row r="194" spans="2:172" ht="15" customHeight="1">
      <c r="B194" s="3"/>
      <c r="FP194" s="3"/>
    </row>
    <row r="195" spans="2:172" ht="15" customHeight="1">
      <c r="B195" s="3"/>
      <c r="FP195" s="3"/>
    </row>
    <row r="196" spans="2:172" ht="15" customHeight="1">
      <c r="B196" s="3"/>
      <c r="FP196" s="3"/>
    </row>
    <row r="197" spans="2:172" ht="15" customHeight="1">
      <c r="B197" s="3"/>
      <c r="FP197" s="3"/>
    </row>
    <row r="198" spans="2:172" ht="15" customHeight="1">
      <c r="B198" s="3"/>
      <c r="FP198" s="3"/>
    </row>
    <row r="199" spans="2:172" ht="15" customHeight="1">
      <c r="B199" s="3"/>
      <c r="FP199" s="3"/>
    </row>
    <row r="200" spans="2:172" ht="15" customHeight="1">
      <c r="B200" s="3"/>
      <c r="FP200" s="3"/>
    </row>
    <row r="201" spans="2:172" ht="15" customHeight="1">
      <c r="B201" s="3"/>
      <c r="FP201" s="3"/>
    </row>
    <row r="202" spans="2:172" ht="15" customHeight="1">
      <c r="B202" s="3"/>
      <c r="FP202" s="3"/>
    </row>
    <row r="203" spans="2:172" ht="15" customHeight="1">
      <c r="B203" s="3"/>
      <c r="FP203" s="3"/>
    </row>
    <row r="204" spans="2:172" ht="15" customHeight="1">
      <c r="B204" s="3"/>
      <c r="FP204" s="3"/>
    </row>
    <row r="205" spans="2:172" ht="15" customHeight="1">
      <c r="B205" s="3"/>
      <c r="FP205" s="3"/>
    </row>
    <row r="206" spans="2:172" ht="15" customHeight="1">
      <c r="B206" s="3"/>
      <c r="FP206" s="3"/>
    </row>
    <row r="207" spans="2:172" ht="15" customHeight="1">
      <c r="B207" s="3"/>
      <c r="FP207" s="3"/>
    </row>
    <row r="208" spans="2:172" ht="15" customHeight="1">
      <c r="B208" s="3"/>
      <c r="FP208" s="3"/>
    </row>
    <row r="209" spans="2:172" ht="15" customHeight="1">
      <c r="B209" s="3"/>
      <c r="FP209" s="3"/>
    </row>
    <row r="210" spans="2:172" ht="15" customHeight="1">
      <c r="B210" s="3"/>
      <c r="FP210" s="3"/>
    </row>
    <row r="211" spans="2:172" ht="15" customHeight="1">
      <c r="B211" s="3"/>
      <c r="FP211" s="3"/>
    </row>
    <row r="212" spans="2:172" ht="15" customHeight="1">
      <c r="B212" s="3"/>
      <c r="FP212" s="3"/>
    </row>
    <row r="213" spans="2:172" ht="15" customHeight="1">
      <c r="B213" s="3"/>
      <c r="FP213" s="3"/>
    </row>
    <row r="214" spans="2:172" ht="15" customHeight="1">
      <c r="B214" s="3"/>
      <c r="FP214" s="3"/>
    </row>
    <row r="215" spans="2:172" ht="15" customHeight="1">
      <c r="B215" s="3"/>
      <c r="FP215" s="3"/>
    </row>
    <row r="216" spans="2:172" ht="15" customHeight="1">
      <c r="B216" s="3"/>
      <c r="FP216" s="3"/>
    </row>
    <row r="217" spans="2:172" ht="15" customHeight="1">
      <c r="B217" s="3"/>
      <c r="FP217" s="3"/>
    </row>
    <row r="218" spans="2:172" ht="15" customHeight="1">
      <c r="B218" s="3"/>
      <c r="FP218" s="3"/>
    </row>
    <row r="219" spans="2:172" ht="15" customHeight="1">
      <c r="B219" s="3"/>
      <c r="FP219" s="3"/>
    </row>
    <row r="220" spans="2:172" ht="15" customHeight="1">
      <c r="B220" s="3"/>
      <c r="FP220" s="3"/>
    </row>
    <row r="221" spans="2:172" ht="15" customHeight="1">
      <c r="B221" s="3"/>
      <c r="FP221" s="3"/>
    </row>
    <row r="222" spans="2:172" ht="15" customHeight="1">
      <c r="B222" s="3"/>
      <c r="FP222" s="3"/>
    </row>
    <row r="223" spans="2:172" ht="15" customHeight="1">
      <c r="B223" s="3"/>
      <c r="FP223" s="3"/>
    </row>
    <row r="224" spans="2:172" ht="15" customHeight="1">
      <c r="B224" s="3"/>
      <c r="FP224" s="3"/>
    </row>
    <row r="225" spans="2:172" ht="15" customHeight="1">
      <c r="B225" s="3"/>
      <c r="FP225" s="3"/>
    </row>
    <row r="226" spans="2:172" ht="15" customHeight="1">
      <c r="B226" s="3"/>
      <c r="FP226" s="3"/>
    </row>
    <row r="227" spans="2:172" ht="15" customHeight="1">
      <c r="B227" s="3"/>
      <c r="FP227" s="3"/>
    </row>
    <row r="228" spans="2:172" ht="15" customHeight="1">
      <c r="B228" s="3"/>
      <c r="FP228" s="3"/>
    </row>
    <row r="229" spans="2:172" ht="15" customHeight="1">
      <c r="B229" s="3"/>
      <c r="FP229" s="3"/>
    </row>
    <row r="230" spans="2:172" ht="15" customHeight="1">
      <c r="B230" s="3"/>
      <c r="FP230" s="3"/>
    </row>
    <row r="231" spans="2:172" ht="15" customHeight="1">
      <c r="B231" s="3"/>
      <c r="FP231" s="3"/>
    </row>
    <row r="232" spans="2:172" ht="15" customHeight="1">
      <c r="B232" s="3"/>
      <c r="FP232" s="3"/>
    </row>
    <row r="233" spans="2:172" ht="15" customHeight="1">
      <c r="B233" s="3"/>
      <c r="FP233" s="3"/>
    </row>
    <row r="234" spans="2:172" ht="15" customHeight="1">
      <c r="B234" s="3"/>
      <c r="FP234" s="3"/>
    </row>
    <row r="235" spans="2:172" ht="15" customHeight="1">
      <c r="B235" s="3"/>
      <c r="FP235" s="3"/>
    </row>
    <row r="236" spans="2:172" ht="15" customHeight="1">
      <c r="B236" s="3"/>
      <c r="FP236" s="3"/>
    </row>
    <row r="237" spans="2:172" ht="15" customHeight="1">
      <c r="B237" s="3"/>
      <c r="FP237" s="3"/>
    </row>
    <row r="238" spans="2:172" ht="15" customHeight="1">
      <c r="B238" s="3"/>
      <c r="FP238" s="3"/>
    </row>
    <row r="239" spans="2:172" ht="15" customHeight="1">
      <c r="B239" s="3"/>
      <c r="FP239" s="3"/>
    </row>
    <row r="240" spans="2:172" ht="15" customHeight="1">
      <c r="B240" s="3"/>
      <c r="FP240" s="3"/>
    </row>
    <row r="241" spans="2:172" ht="15" customHeight="1">
      <c r="B241" s="3"/>
      <c r="FP241" s="3"/>
    </row>
    <row r="242" spans="2:172" ht="15" customHeight="1">
      <c r="B242" s="3"/>
      <c r="FP242" s="3"/>
    </row>
    <row r="243" spans="2:172" ht="15" customHeight="1">
      <c r="B243" s="3"/>
      <c r="FP243" s="3"/>
    </row>
    <row r="244" spans="2:172" ht="15" customHeight="1">
      <c r="B244" s="3"/>
      <c r="FP244" s="3"/>
    </row>
    <row r="245" spans="2:172" ht="15" customHeight="1">
      <c r="B245" s="3"/>
      <c r="FP245" s="3"/>
    </row>
    <row r="246" spans="2:172" ht="15" customHeight="1">
      <c r="B246" s="3"/>
      <c r="FP246" s="3"/>
    </row>
    <row r="247" spans="2:172" ht="15" customHeight="1">
      <c r="B247" s="3"/>
      <c r="FP247" s="3"/>
    </row>
    <row r="248" spans="2:172" ht="15" customHeight="1">
      <c r="B248" s="3"/>
      <c r="FP248" s="3"/>
    </row>
    <row r="249" spans="2:172" ht="15" customHeight="1">
      <c r="B249" s="3"/>
      <c r="FP249" s="3"/>
    </row>
    <row r="250" spans="2:172" ht="15" customHeight="1">
      <c r="B250" s="3"/>
      <c r="FP250" s="3"/>
    </row>
    <row r="251" spans="2:172" ht="15" customHeight="1">
      <c r="B251" s="3"/>
      <c r="FP251" s="3"/>
    </row>
    <row r="252" spans="2:172" ht="15" customHeight="1">
      <c r="B252" s="3"/>
      <c r="FP252" s="3"/>
    </row>
    <row r="253" spans="2:172" ht="15" customHeight="1">
      <c r="B253" s="3"/>
      <c r="FP253" s="3"/>
    </row>
    <row r="254" spans="2:172" ht="15" customHeight="1">
      <c r="B254" s="3"/>
      <c r="FP254" s="3"/>
    </row>
    <row r="255" spans="2:172" ht="15" customHeight="1">
      <c r="B255" s="3"/>
      <c r="FP255" s="3"/>
    </row>
    <row r="256" spans="2:172" ht="15" customHeight="1">
      <c r="B256" s="3"/>
      <c r="FP256" s="3"/>
    </row>
    <row r="257" spans="2:172" ht="15" customHeight="1">
      <c r="B257" s="3"/>
      <c r="FP257" s="3"/>
    </row>
    <row r="258" spans="2:172" ht="15" customHeight="1">
      <c r="B258" s="3"/>
      <c r="FP258" s="3"/>
    </row>
    <row r="259" spans="2:172" ht="15" customHeight="1">
      <c r="B259" s="3"/>
      <c r="FP259" s="3"/>
    </row>
    <row r="260" spans="2:172" ht="15" customHeight="1">
      <c r="B260" s="3"/>
      <c r="FP260" s="3"/>
    </row>
    <row r="261" spans="2:172" ht="15" customHeight="1">
      <c r="B261" s="3"/>
      <c r="FP261" s="3"/>
    </row>
    <row r="262" spans="2:172" ht="15" customHeight="1">
      <c r="B262" s="3"/>
      <c r="FP262" s="3"/>
    </row>
    <row r="263" spans="2:172" ht="15" customHeight="1">
      <c r="B263" s="3"/>
      <c r="FP263" s="3"/>
    </row>
    <row r="264" spans="2:172" ht="15" customHeight="1">
      <c r="B264" s="3"/>
      <c r="FP264" s="3"/>
    </row>
    <row r="265" spans="2:172" ht="15" customHeight="1">
      <c r="B265" s="3"/>
      <c r="FP265" s="3"/>
    </row>
    <row r="266" spans="2:172" ht="15" customHeight="1">
      <c r="B266" s="3"/>
      <c r="FP266" s="3"/>
    </row>
    <row r="267" spans="2:172" ht="15" customHeight="1">
      <c r="B267" s="3"/>
      <c r="FP267" s="3"/>
    </row>
    <row r="268" spans="2:172" ht="15" customHeight="1">
      <c r="B268" s="3"/>
      <c r="FP268" s="3"/>
    </row>
    <row r="269" spans="2:172" ht="15" customHeight="1">
      <c r="B269" s="3"/>
      <c r="FP269" s="3"/>
    </row>
    <row r="270" spans="2:172" ht="15" customHeight="1">
      <c r="B270" s="3"/>
      <c r="FP270" s="3"/>
    </row>
    <row r="271" spans="2:172" ht="15" customHeight="1">
      <c r="B271" s="3"/>
      <c r="FP271" s="3"/>
    </row>
    <row r="272" spans="2:172" ht="15" customHeight="1">
      <c r="B272" s="3"/>
      <c r="FP272" s="3"/>
    </row>
    <row r="273" spans="2:172" ht="15" customHeight="1">
      <c r="B273" s="3"/>
      <c r="FP273" s="3"/>
    </row>
    <row r="274" spans="2:172" ht="15" customHeight="1">
      <c r="B274" s="3"/>
      <c r="FP274" s="3"/>
    </row>
    <row r="275" spans="2:172" ht="15" customHeight="1">
      <c r="B275" s="3"/>
      <c r="FP275" s="3"/>
    </row>
    <row r="276" spans="2:172" ht="15" customHeight="1">
      <c r="B276" s="3"/>
      <c r="FP276" s="3"/>
    </row>
    <row r="277" spans="2:172" ht="15" customHeight="1">
      <c r="B277" s="3"/>
      <c r="FP277" s="3"/>
    </row>
    <row r="278" spans="2:172" ht="15" customHeight="1">
      <c r="B278" s="3"/>
      <c r="FP278" s="3"/>
    </row>
    <row r="279" spans="2:172" ht="15" customHeight="1">
      <c r="B279" s="3"/>
      <c r="FP279" s="3"/>
    </row>
    <row r="280" spans="2:172" ht="15" customHeight="1">
      <c r="B280" s="3"/>
      <c r="FP280" s="3"/>
    </row>
    <row r="281" spans="2:172" ht="15" customHeight="1">
      <c r="B281" s="3"/>
      <c r="FP281" s="3"/>
    </row>
    <row r="282" spans="2:172" ht="15" customHeight="1">
      <c r="B282" s="3"/>
      <c r="FP282" s="3"/>
    </row>
    <row r="283" spans="2:172" ht="15" customHeight="1">
      <c r="B283" s="3"/>
      <c r="FP283" s="3"/>
    </row>
    <row r="284" spans="2:172" ht="15" customHeight="1">
      <c r="B284" s="3"/>
      <c r="FP284" s="3"/>
    </row>
    <row r="285" spans="2:172" ht="15" customHeight="1">
      <c r="B285" s="3"/>
      <c r="FP285" s="3"/>
    </row>
    <row r="286" spans="2:172" ht="15" customHeight="1">
      <c r="B286" s="3"/>
      <c r="FP286" s="3"/>
    </row>
    <row r="287" spans="2:172" ht="15" customHeight="1">
      <c r="B287" s="3"/>
      <c r="FP287" s="3"/>
    </row>
    <row r="288" spans="2:172" ht="15" customHeight="1">
      <c r="B288" s="3"/>
      <c r="FP288" s="3"/>
    </row>
    <row r="289" spans="2:172" ht="15" customHeight="1">
      <c r="B289" s="3"/>
      <c r="FP289" s="3"/>
    </row>
    <row r="290" spans="2:172" ht="15" customHeight="1">
      <c r="B290" s="3"/>
      <c r="FP290" s="3"/>
    </row>
    <row r="291" spans="2:172" ht="15" customHeight="1">
      <c r="B291" s="3"/>
      <c r="FP291" s="3"/>
    </row>
    <row r="292" spans="2:172" ht="15" customHeight="1">
      <c r="B292" s="3"/>
      <c r="FP292" s="3"/>
    </row>
    <row r="293" spans="2:172" ht="15" customHeight="1">
      <c r="B293" s="3"/>
      <c r="FP293" s="3"/>
    </row>
    <row r="294" spans="2:172" ht="15" customHeight="1">
      <c r="B294" s="3"/>
      <c r="FP294" s="3"/>
    </row>
    <row r="295" spans="2:172" ht="15" customHeight="1">
      <c r="B295" s="3"/>
      <c r="FP295" s="3"/>
    </row>
    <row r="296" spans="2:172" ht="15" customHeight="1">
      <c r="B296" s="3"/>
      <c r="FP296" s="3"/>
    </row>
    <row r="297" spans="2:172" ht="15" customHeight="1">
      <c r="B297" s="3"/>
      <c r="FP297" s="3"/>
    </row>
    <row r="298" spans="2:172" ht="15" customHeight="1">
      <c r="B298" s="3"/>
      <c r="FP298" s="3"/>
    </row>
    <row r="299" spans="2:172" ht="15" customHeight="1">
      <c r="B299" s="3"/>
      <c r="FP299" s="3"/>
    </row>
    <row r="300" spans="2:172" ht="15" customHeight="1">
      <c r="B300" s="3"/>
      <c r="FP300" s="3"/>
    </row>
    <row r="301" spans="2:172" ht="15" customHeight="1">
      <c r="B301" s="3"/>
      <c r="FP301" s="3"/>
    </row>
    <row r="302" spans="2:172" ht="12.75">
      <c r="B302" s="3"/>
      <c r="FP302" s="3"/>
    </row>
    <row r="303" spans="2:172" ht="12.75">
      <c r="B303" s="3"/>
      <c r="FP303" s="3"/>
    </row>
    <row r="304" spans="2:172" ht="12.75">
      <c r="B304" s="3"/>
      <c r="FP304" s="3"/>
    </row>
    <row r="305" spans="2:172" ht="12.75">
      <c r="B305" s="3"/>
      <c r="FP305" s="3"/>
    </row>
    <row r="306" spans="2:172" ht="12.75">
      <c r="B306" s="3"/>
      <c r="FP306" s="3"/>
    </row>
    <row r="307" spans="2:172" ht="12.75">
      <c r="B307" s="3"/>
      <c r="FP307" s="3"/>
    </row>
    <row r="308" spans="2:172" ht="12.75">
      <c r="B308" s="3"/>
      <c r="FP308" s="3"/>
    </row>
    <row r="309" spans="2:172" ht="12.75">
      <c r="B309" s="3"/>
      <c r="FP309" s="3"/>
    </row>
    <row r="310" spans="2:172" ht="12.75">
      <c r="B310" s="3"/>
      <c r="FP310" s="3"/>
    </row>
    <row r="311" spans="2:172" ht="12.75">
      <c r="B311" s="3"/>
      <c r="FP311" s="3"/>
    </row>
    <row r="312" spans="2:172" ht="12.75">
      <c r="B312" s="3"/>
      <c r="FP312" s="3"/>
    </row>
    <row r="313" spans="2:172" ht="12.75">
      <c r="B313" s="3"/>
      <c r="FP313" s="3"/>
    </row>
    <row r="314" spans="2:172" ht="12.75">
      <c r="B314" s="3"/>
      <c r="FP314" s="3"/>
    </row>
    <row r="315" spans="2:172" ht="12.75">
      <c r="B315" s="3"/>
      <c r="FP315" s="3"/>
    </row>
    <row r="316" spans="2:172" ht="12.75">
      <c r="B316" s="3"/>
      <c r="FP316" s="3"/>
    </row>
    <row r="317" spans="2:172" ht="12.75">
      <c r="B317" s="3"/>
      <c r="FP317" s="3"/>
    </row>
    <row r="318" spans="2:172" ht="12.75">
      <c r="B318" s="3"/>
      <c r="FP318" s="3"/>
    </row>
    <row r="319" spans="2:172" ht="12.75">
      <c r="B319" s="3"/>
      <c r="FP319" s="3"/>
    </row>
    <row r="320" spans="2:172" ht="12.75">
      <c r="B320" s="3"/>
      <c r="FP320" s="3"/>
    </row>
    <row r="321" spans="2:172" ht="12.75">
      <c r="B321" s="3"/>
      <c r="FP321" s="3"/>
    </row>
    <row r="322" spans="2:172" ht="12.75">
      <c r="B322" s="3"/>
      <c r="FP322" s="3"/>
    </row>
    <row r="323" spans="2:172" ht="12.75">
      <c r="B323" s="3"/>
      <c r="FP323" s="3"/>
    </row>
    <row r="324" spans="2:172" ht="12.75">
      <c r="B324" s="3"/>
      <c r="FP324" s="3"/>
    </row>
    <row r="325" spans="2:172" ht="12.75">
      <c r="B325" s="3"/>
      <c r="FP325" s="3"/>
    </row>
    <row r="326" spans="2:172" ht="12.75">
      <c r="B326" s="3"/>
      <c r="FP326" s="3"/>
    </row>
    <row r="327" spans="2:172" ht="12.75">
      <c r="B327" s="3"/>
      <c r="FP327" s="3"/>
    </row>
    <row r="328" spans="2:172" ht="12.75">
      <c r="B328" s="3"/>
      <c r="FP328" s="3"/>
    </row>
    <row r="329" spans="2:172" ht="12.75">
      <c r="B329" s="3"/>
      <c r="FP329" s="3"/>
    </row>
    <row r="330" spans="2:172" ht="12.75">
      <c r="B330" s="3"/>
      <c r="FP330" s="3"/>
    </row>
    <row r="331" spans="2:172" ht="12.75">
      <c r="B331" s="3"/>
      <c r="FP331" s="3"/>
    </row>
    <row r="332" spans="2:172" ht="12.75">
      <c r="B332" s="3"/>
      <c r="FP332" s="3"/>
    </row>
    <row r="333" spans="2:172" ht="12.75">
      <c r="B333" s="3"/>
      <c r="FP333" s="3"/>
    </row>
    <row r="334" spans="2:172" ht="12.75">
      <c r="B334" s="3"/>
      <c r="FP334" s="3"/>
    </row>
    <row r="335" spans="2:172" ht="12.75">
      <c r="B335" s="3"/>
      <c r="FP335" s="3"/>
    </row>
    <row r="336" spans="2:172" ht="12.75">
      <c r="B336" s="3"/>
      <c r="FP336" s="3"/>
    </row>
    <row r="337" spans="2:172" ht="12.75">
      <c r="B337" s="3"/>
      <c r="FP337" s="3"/>
    </row>
    <row r="338" spans="2:172" ht="12.75">
      <c r="B338" s="3"/>
      <c r="FP338" s="3"/>
    </row>
    <row r="339" spans="2:172" ht="12.75">
      <c r="B339" s="3"/>
      <c r="FP339" s="3"/>
    </row>
    <row r="340" spans="2:172" ht="12.75">
      <c r="B340" s="3"/>
      <c r="FP340" s="3"/>
    </row>
    <row r="341" spans="2:172" ht="12.75">
      <c r="B341" s="3"/>
      <c r="FP341" s="3"/>
    </row>
    <row r="342" spans="2:172" ht="12.75">
      <c r="B342" s="3"/>
      <c r="FP342" s="3"/>
    </row>
    <row r="343" spans="2:172" ht="12.75">
      <c r="B343" s="3"/>
      <c r="FP343" s="3"/>
    </row>
    <row r="344" spans="2:172" ht="12.75">
      <c r="B344" s="3"/>
      <c r="FP344" s="3"/>
    </row>
    <row r="345" spans="2:172" ht="12.75">
      <c r="B345" s="3"/>
      <c r="FP345" s="3"/>
    </row>
    <row r="346" spans="2:172" ht="12.75">
      <c r="B346" s="3"/>
      <c r="FP346" s="3"/>
    </row>
    <row r="347" spans="2:172" ht="12.75">
      <c r="B347" s="3"/>
      <c r="FP347" s="3"/>
    </row>
    <row r="348" spans="2:172" ht="12.75">
      <c r="B348" s="3"/>
      <c r="FP348" s="3"/>
    </row>
    <row r="349" spans="2:172" ht="12.75">
      <c r="B349" s="3"/>
      <c r="FP349" s="3"/>
    </row>
    <row r="350" spans="2:172" ht="12.75">
      <c r="B350" s="3"/>
      <c r="FP350" s="3"/>
    </row>
    <row r="351" spans="2:172" ht="12.75">
      <c r="B351" s="3"/>
      <c r="FP351" s="3"/>
    </row>
    <row r="352" spans="2:172" ht="12.75">
      <c r="B352" s="3"/>
      <c r="FP352" s="3"/>
    </row>
    <row r="353" spans="2:172" ht="12.75">
      <c r="B353" s="3"/>
      <c r="FP353" s="3"/>
    </row>
    <row r="354" spans="2:172" ht="12.75">
      <c r="B354" s="3"/>
      <c r="FP354" s="3"/>
    </row>
    <row r="355" spans="2:172" ht="12.75">
      <c r="B355" s="3"/>
      <c r="FP355" s="3"/>
    </row>
    <row r="356" spans="2:172" ht="12.75">
      <c r="B356" s="3"/>
      <c r="FP356" s="3"/>
    </row>
    <row r="357" spans="2:172" ht="12.75">
      <c r="B357" s="3"/>
      <c r="FP357" s="3"/>
    </row>
    <row r="358" spans="2:172" ht="12.75">
      <c r="B358" s="3"/>
      <c r="FP358" s="3"/>
    </row>
    <row r="359" spans="2:172" ht="12.75">
      <c r="B359" s="3"/>
      <c r="FP359" s="3"/>
    </row>
    <row r="360" spans="2:172" ht="12.75">
      <c r="B360" s="3"/>
      <c r="FP360" s="3"/>
    </row>
    <row r="361" spans="2:172" ht="12.75">
      <c r="B361" s="3"/>
      <c r="FP361" s="3"/>
    </row>
    <row r="362" spans="2:172" ht="12.75">
      <c r="B362" s="3"/>
      <c r="FP362" s="3"/>
    </row>
    <row r="363" spans="2:172" ht="12.75">
      <c r="B363" s="3"/>
      <c r="FP363" s="3"/>
    </row>
    <row r="364" spans="2:172" ht="12.75">
      <c r="B364" s="3"/>
      <c r="FP364" s="3"/>
    </row>
    <row r="365" spans="2:172" ht="12.75">
      <c r="B365" s="3"/>
      <c r="FP365" s="3"/>
    </row>
    <row r="366" spans="2:172" ht="12.75">
      <c r="B366" s="3"/>
      <c r="FP366" s="3"/>
    </row>
    <row r="367" spans="2:172" ht="12.75">
      <c r="B367" s="3"/>
      <c r="FP367" s="3"/>
    </row>
    <row r="368" spans="2:172" ht="12.75">
      <c r="B368" s="3"/>
      <c r="FP368" s="3"/>
    </row>
    <row r="369" spans="2:172" ht="12.75">
      <c r="B369" s="3"/>
      <c r="FP369" s="3"/>
    </row>
    <row r="370" spans="2:172" ht="12.75">
      <c r="B370" s="3"/>
      <c r="FP370" s="3"/>
    </row>
    <row r="371" spans="2:172" ht="12.75">
      <c r="B371" s="3"/>
      <c r="FP371" s="3"/>
    </row>
    <row r="372" spans="2:172" ht="12.75">
      <c r="B372" s="3"/>
      <c r="FP372" s="3"/>
    </row>
    <row r="373" spans="2:172" ht="12.75">
      <c r="B373" s="3"/>
      <c r="FP373" s="3"/>
    </row>
    <row r="374" spans="2:172" ht="12.75">
      <c r="B374" s="3"/>
      <c r="FP374" s="3"/>
    </row>
    <row r="375" spans="2:172" ht="12.75">
      <c r="B375" s="3"/>
      <c r="FP375" s="3"/>
    </row>
    <row r="376" spans="2:172" ht="12.75">
      <c r="B376" s="3"/>
      <c r="FP376" s="3"/>
    </row>
    <row r="377" spans="2:172" ht="12.75">
      <c r="B377" s="3"/>
      <c r="FP377" s="3"/>
    </row>
    <row r="378" spans="2:172" ht="12.75">
      <c r="B378" s="3"/>
      <c r="FP378" s="3"/>
    </row>
    <row r="379" spans="2:172" ht="12.75">
      <c r="B379" s="3"/>
      <c r="FP379" s="3"/>
    </row>
    <row r="380" spans="2:172" ht="12.75">
      <c r="B380" s="3"/>
      <c r="FP380" s="3"/>
    </row>
    <row r="381" spans="2:172" ht="12.75">
      <c r="B381" s="3"/>
      <c r="FP381" s="3"/>
    </row>
    <row r="382" spans="2:172" ht="12.75">
      <c r="B382" s="3"/>
      <c r="FP382" s="3"/>
    </row>
    <row r="383" spans="2:172" ht="12.75">
      <c r="B383" s="3"/>
      <c r="FP383" s="3"/>
    </row>
    <row r="384" spans="2:172" ht="12.75">
      <c r="B384" s="3"/>
      <c r="FP384" s="3"/>
    </row>
    <row r="385" spans="2:172" ht="12.75">
      <c r="B385" s="3"/>
      <c r="FP385" s="3"/>
    </row>
    <row r="386" spans="2:172" ht="12.75">
      <c r="B386" s="3"/>
      <c r="FP386" s="3"/>
    </row>
    <row r="387" spans="2:172" ht="12.75">
      <c r="B387" s="3"/>
      <c r="FP387" s="3"/>
    </row>
    <row r="388" spans="2:172" ht="12.75">
      <c r="B388" s="3"/>
      <c r="FP388" s="3"/>
    </row>
    <row r="389" spans="2:172" ht="12.75">
      <c r="B389" s="3"/>
      <c r="FP389" s="3"/>
    </row>
    <row r="390" spans="2:172" ht="12.75">
      <c r="B390" s="3"/>
      <c r="FP390" s="3"/>
    </row>
    <row r="391" spans="2:172" ht="12.75">
      <c r="B391" s="3"/>
      <c r="FP391" s="3"/>
    </row>
    <row r="392" spans="2:172" ht="12.75">
      <c r="B392" s="3"/>
      <c r="FP392" s="3"/>
    </row>
    <row r="393" spans="2:172" ht="12.75">
      <c r="B393" s="3"/>
      <c r="FP393" s="3"/>
    </row>
    <row r="394" spans="2:172" ht="12.75">
      <c r="B394" s="3"/>
      <c r="FP394" s="3"/>
    </row>
    <row r="395" spans="2:172" ht="12.75">
      <c r="B395" s="3"/>
      <c r="FP395" s="3"/>
    </row>
    <row r="396" spans="2:172" ht="12.75">
      <c r="B396" s="3"/>
      <c r="FP396" s="3"/>
    </row>
    <row r="397" spans="2:172" ht="12.75">
      <c r="B397" s="3"/>
      <c r="FP397" s="3"/>
    </row>
    <row r="398" spans="2:172" ht="12.75">
      <c r="B398" s="3"/>
      <c r="FP398" s="3"/>
    </row>
    <row r="399" spans="2:172" ht="12.75">
      <c r="B399" s="3"/>
      <c r="FP399" s="3"/>
    </row>
    <row r="400" spans="2:172" ht="12.75">
      <c r="B400" s="3"/>
      <c r="FP400" s="3"/>
    </row>
    <row r="401" spans="2:172" ht="12.75">
      <c r="B401" s="3"/>
      <c r="FP401" s="3"/>
    </row>
    <row r="402" spans="2:172" ht="12.75">
      <c r="B402" s="3"/>
      <c r="FP402" s="3"/>
    </row>
    <row r="403" spans="2:172" ht="12.75">
      <c r="B403" s="3"/>
      <c r="FP403" s="3"/>
    </row>
    <row r="404" spans="2:172" ht="12.75">
      <c r="B404" s="3"/>
      <c r="FP404" s="3"/>
    </row>
    <row r="405" spans="2:172" ht="12.75">
      <c r="B405" s="3"/>
      <c r="FP405" s="3"/>
    </row>
    <row r="406" spans="2:172" ht="12.75">
      <c r="B406" s="3"/>
      <c r="FP406" s="3"/>
    </row>
    <row r="407" spans="2:172" ht="12.75">
      <c r="B407" s="3"/>
      <c r="FP407" s="3"/>
    </row>
    <row r="408" spans="2:172" ht="12.75">
      <c r="B408" s="3"/>
      <c r="FP408" s="3"/>
    </row>
    <row r="409" spans="2:172" ht="12.75">
      <c r="B409" s="3"/>
      <c r="FP409" s="3"/>
    </row>
    <row r="410" spans="2:172" ht="12.75">
      <c r="B410" s="3"/>
      <c r="FP410" s="3"/>
    </row>
    <row r="411" spans="2:172" ht="12.75">
      <c r="B411" s="3"/>
      <c r="FP411" s="3"/>
    </row>
    <row r="412" spans="2:172" ht="12.75">
      <c r="B412" s="3"/>
      <c r="FP412" s="3"/>
    </row>
    <row r="413" spans="2:172" ht="12.75">
      <c r="B413" s="3"/>
      <c r="FP413" s="3"/>
    </row>
    <row r="414" spans="2:172" ht="12.75">
      <c r="B414" s="3"/>
      <c r="FP414" s="3"/>
    </row>
    <row r="415" spans="2:172" ht="12.75">
      <c r="B415" s="3"/>
      <c r="FP415" s="3"/>
    </row>
    <row r="416" spans="2:172" ht="12.75">
      <c r="B416" s="3"/>
      <c r="FP416" s="3"/>
    </row>
    <row r="417" spans="2:172" ht="12.75">
      <c r="B417" s="3"/>
      <c r="FP417" s="3"/>
    </row>
    <row r="418" spans="2:172" ht="12.75">
      <c r="B418" s="3"/>
      <c r="FP418" s="3"/>
    </row>
    <row r="419" spans="2:172" ht="12.75">
      <c r="B419" s="3"/>
      <c r="FP419" s="3"/>
    </row>
    <row r="420" spans="2:172" ht="12.75">
      <c r="B420" s="3"/>
      <c r="FP420" s="3"/>
    </row>
    <row r="421" spans="2:172" ht="12.75">
      <c r="B421" s="3"/>
      <c r="FP421" s="3"/>
    </row>
    <row r="422" spans="2:172" ht="12.75">
      <c r="B422" s="3"/>
      <c r="FP422" s="3"/>
    </row>
    <row r="423" spans="2:172" ht="12.75">
      <c r="B423" s="3"/>
      <c r="FP423" s="3"/>
    </row>
    <row r="424" spans="2:172" ht="12.75">
      <c r="B424" s="3"/>
      <c r="FP424" s="3"/>
    </row>
    <row r="425" spans="2:172" ht="12.75">
      <c r="B425" s="3"/>
      <c r="FP425" s="3"/>
    </row>
    <row r="426" spans="2:172" ht="12.75">
      <c r="B426" s="3"/>
      <c r="FP426" s="3"/>
    </row>
    <row r="427" spans="2:172" ht="12.75">
      <c r="B427" s="3"/>
      <c r="FP427" s="3"/>
    </row>
    <row r="428" spans="2:172" ht="12.75">
      <c r="B428" s="3"/>
      <c r="FP428" s="3"/>
    </row>
    <row r="429" spans="2:172" ht="12.75">
      <c r="B429" s="3"/>
      <c r="FP429" s="3"/>
    </row>
    <row r="430" spans="2:172" ht="12.75">
      <c r="B430" s="3"/>
      <c r="FP430" s="3"/>
    </row>
    <row r="431" spans="2:172" ht="12.75">
      <c r="B431" s="3"/>
      <c r="FP431" s="3"/>
    </row>
    <row r="432" spans="2:172" ht="12.75">
      <c r="B432" s="3"/>
      <c r="FP432" s="3"/>
    </row>
    <row r="433" spans="2:172" ht="12.75">
      <c r="B433" s="3"/>
      <c r="FP433" s="3"/>
    </row>
    <row r="434" spans="2:172" ht="12.75">
      <c r="B434" s="3"/>
      <c r="FP434" s="3"/>
    </row>
    <row r="435" spans="2:172" ht="12.75">
      <c r="B435" s="3"/>
      <c r="FP435" s="3"/>
    </row>
    <row r="436" spans="2:172" ht="12.75">
      <c r="B436" s="3"/>
      <c r="FP436" s="3"/>
    </row>
    <row r="437" spans="2:172" ht="12.75">
      <c r="B437" s="3"/>
      <c r="FP437" s="3"/>
    </row>
    <row r="438" spans="2:172" ht="12.75">
      <c r="B438" s="3"/>
      <c r="FP438" s="3"/>
    </row>
    <row r="439" spans="2:172" ht="12.75">
      <c r="B439" s="3"/>
      <c r="FP439" s="3"/>
    </row>
    <row r="440" spans="2:172" ht="12.75">
      <c r="B440" s="3"/>
      <c r="FP440" s="3"/>
    </row>
    <row r="441" spans="2:172" ht="12.75">
      <c r="B441" s="3"/>
      <c r="FP441" s="3"/>
    </row>
    <row r="442" spans="2:172" ht="12.75">
      <c r="B442" s="3"/>
      <c r="FP442" s="3"/>
    </row>
    <row r="443" spans="2:172" ht="12.75">
      <c r="B443" s="3"/>
      <c r="FP443" s="3"/>
    </row>
    <row r="444" spans="2:172" ht="12.75">
      <c r="B444" s="3"/>
      <c r="FP444" s="3"/>
    </row>
    <row r="445" spans="2:172" ht="12.75">
      <c r="B445" s="3"/>
      <c r="FP445" s="3"/>
    </row>
    <row r="446" spans="2:172" ht="12.75">
      <c r="B446" s="3"/>
      <c r="FP446" s="3"/>
    </row>
    <row r="447" spans="2:172" ht="12.75">
      <c r="B447" s="3"/>
      <c r="FP447" s="3"/>
    </row>
    <row r="448" spans="2:172" ht="12.75">
      <c r="B448" s="3"/>
      <c r="FP448" s="3"/>
    </row>
    <row r="449" spans="2:172" ht="12.75">
      <c r="B449" s="3"/>
      <c r="FP449" s="3"/>
    </row>
    <row r="450" spans="2:172" ht="12.75">
      <c r="B450" s="3"/>
      <c r="FP450" s="3"/>
    </row>
    <row r="451" spans="2:172" ht="12.75">
      <c r="B451" s="3"/>
      <c r="FP451" s="3"/>
    </row>
    <row r="452" spans="2:172" ht="12.75">
      <c r="B452" s="3"/>
      <c r="FP452" s="3"/>
    </row>
    <row r="453" spans="2:172" ht="12.75">
      <c r="B453" s="3"/>
      <c r="FP453" s="3"/>
    </row>
    <row r="454" spans="2:172" ht="12.75">
      <c r="B454" s="3"/>
      <c r="FP454" s="3"/>
    </row>
    <row r="455" spans="2:172" ht="12.75">
      <c r="B455" s="3"/>
      <c r="FP455" s="3"/>
    </row>
    <row r="456" spans="2:172" ht="12.75">
      <c r="B456" s="3"/>
      <c r="FP456" s="3"/>
    </row>
    <row r="457" spans="2:172" ht="12.75">
      <c r="B457" s="3"/>
      <c r="FP457" s="3"/>
    </row>
    <row r="458" spans="2:172" ht="12.75">
      <c r="B458" s="3"/>
      <c r="FP458" s="3"/>
    </row>
    <row r="459" spans="2:172" ht="12.75">
      <c r="B459" s="3"/>
      <c r="FP459" s="3"/>
    </row>
    <row r="460" spans="2:172" ht="12.75">
      <c r="B460" s="3"/>
      <c r="FP460" s="3"/>
    </row>
    <row r="461" spans="2:172" ht="12.75">
      <c r="B461" s="3"/>
      <c r="FP461" s="3"/>
    </row>
    <row r="462" spans="2:172" ht="12.75">
      <c r="B462" s="3"/>
      <c r="FP462" s="3"/>
    </row>
    <row r="463" spans="2:172" ht="12.75">
      <c r="B463" s="3"/>
      <c r="FP463" s="3"/>
    </row>
    <row r="464" spans="2:172" ht="12.75">
      <c r="B464" s="3"/>
      <c r="FP464" s="3"/>
    </row>
    <row r="465" spans="2:172" ht="12.75">
      <c r="B465" s="3"/>
      <c r="FP465" s="3"/>
    </row>
    <row r="466" spans="2:172" ht="12.75">
      <c r="B466" s="3"/>
      <c r="FP466" s="3"/>
    </row>
    <row r="467" spans="2:172" ht="12.75">
      <c r="B467" s="3"/>
      <c r="FP467" s="3"/>
    </row>
    <row r="468" spans="2:172" ht="12.75">
      <c r="B468" s="3"/>
      <c r="FP468" s="3"/>
    </row>
    <row r="469" spans="2:172" ht="12.75">
      <c r="B469" s="3"/>
      <c r="FP469" s="3"/>
    </row>
    <row r="470" spans="2:172" ht="12.75">
      <c r="B470" s="3"/>
      <c r="FP470" s="3"/>
    </row>
    <row r="471" spans="2:172" ht="12.75">
      <c r="B471" s="3"/>
      <c r="FP471" s="3"/>
    </row>
    <row r="472" spans="2:172" ht="12.75">
      <c r="B472" s="3"/>
      <c r="FP472" s="3"/>
    </row>
    <row r="473" spans="2:172" ht="12.75">
      <c r="B473" s="3"/>
      <c r="FP473" s="3"/>
    </row>
    <row r="474" spans="2:172" ht="12.75">
      <c r="B474" s="3"/>
      <c r="FP474" s="3"/>
    </row>
    <row r="475" spans="2:172" ht="12.75">
      <c r="B475" s="3"/>
      <c r="FP475" s="3"/>
    </row>
    <row r="476" spans="2:172" ht="12.75">
      <c r="B476" s="3"/>
      <c r="FP476" s="3"/>
    </row>
    <row r="477" spans="2:172" ht="12.75">
      <c r="B477" s="3"/>
      <c r="FP477" s="3"/>
    </row>
    <row r="478" spans="2:172" ht="12.75">
      <c r="B478" s="3"/>
      <c r="FP478" s="3"/>
    </row>
    <row r="479" spans="2:172" ht="12.75">
      <c r="B479" s="3"/>
      <c r="FP479" s="3"/>
    </row>
    <row r="480" spans="2:172" ht="12.75">
      <c r="B480" s="3"/>
      <c r="FP480" s="3"/>
    </row>
    <row r="481" spans="2:172" ht="12.75">
      <c r="B481" s="3"/>
      <c r="FP481" s="3"/>
    </row>
    <row r="482" spans="2:172" ht="12.75">
      <c r="B482" s="3"/>
      <c r="FP482" s="3"/>
    </row>
    <row r="483" spans="2:172" ht="12.75">
      <c r="B483" s="3"/>
      <c r="FP483" s="3"/>
    </row>
    <row r="484" spans="2:172" ht="12.75">
      <c r="B484" s="3"/>
      <c r="FP484" s="3"/>
    </row>
    <row r="485" spans="2:172" ht="12.75">
      <c r="B485" s="3"/>
      <c r="FP485" s="3"/>
    </row>
    <row r="486" spans="2:172" ht="12.75">
      <c r="B486" s="3"/>
      <c r="FP486" s="3"/>
    </row>
    <row r="487" spans="2:172" ht="12.75">
      <c r="B487" s="3"/>
      <c r="FP487" s="3"/>
    </row>
    <row r="488" spans="2:172" ht="12.75">
      <c r="B488" s="3"/>
      <c r="FP488" s="3"/>
    </row>
    <row r="489" spans="2:172" ht="12.75">
      <c r="B489" s="3"/>
      <c r="FP489" s="3"/>
    </row>
    <row r="490" spans="2:172" ht="12.75">
      <c r="B490" s="3"/>
      <c r="FP490" s="3"/>
    </row>
    <row r="491" spans="2:172" ht="12.75">
      <c r="B491" s="3"/>
      <c r="FP491" s="3"/>
    </row>
    <row r="492" spans="2:172" ht="12.75">
      <c r="B492" s="3"/>
      <c r="FP492" s="3"/>
    </row>
    <row r="493" spans="2:172" ht="12.75">
      <c r="B493" s="3"/>
      <c r="FP493" s="3"/>
    </row>
    <row r="494" spans="2:172" ht="12.75">
      <c r="B494" s="3"/>
      <c r="FP494" s="3"/>
    </row>
    <row r="495" spans="2:172" ht="12.75">
      <c r="B495" s="3"/>
      <c r="FP495" s="3"/>
    </row>
    <row r="496" spans="2:172" ht="12.75">
      <c r="B496" s="3"/>
      <c r="FP496" s="3"/>
    </row>
    <row r="497" spans="2:172" ht="12.75">
      <c r="B497" s="3"/>
      <c r="FP497" s="3"/>
    </row>
    <row r="498" spans="2:172" ht="12.75">
      <c r="B498" s="3"/>
      <c r="FP498" s="3"/>
    </row>
    <row r="499" spans="2:172" ht="12.75">
      <c r="B499" s="3"/>
      <c r="FP499" s="3"/>
    </row>
    <row r="500" spans="2:172" ht="12.75">
      <c r="B500" s="3"/>
      <c r="FP500" s="3"/>
    </row>
    <row r="501" spans="2:172" ht="12.75">
      <c r="B501" s="3"/>
      <c r="FP501" s="3"/>
    </row>
    <row r="502" spans="2:172" ht="12.75">
      <c r="B502" s="3"/>
      <c r="FP502" s="3"/>
    </row>
    <row r="503" spans="2:172" ht="12.75">
      <c r="B503" s="3"/>
      <c r="FP503" s="3"/>
    </row>
    <row r="504" spans="2:172" ht="12.75">
      <c r="B504" s="3"/>
      <c r="FP504" s="3"/>
    </row>
    <row r="505" spans="2:172" ht="12.75">
      <c r="B505" s="3"/>
      <c r="FP505" s="3"/>
    </row>
    <row r="506" spans="2:172" ht="12.75">
      <c r="B506" s="3"/>
      <c r="FP506" s="3"/>
    </row>
    <row r="507" spans="2:172" ht="12.75">
      <c r="B507" s="3"/>
      <c r="FP507" s="3"/>
    </row>
    <row r="508" spans="2:172" ht="12.75">
      <c r="B508" s="3"/>
      <c r="FP508" s="3"/>
    </row>
    <row r="509" spans="2:172" ht="12.75">
      <c r="B509" s="3"/>
      <c r="FP509" s="3"/>
    </row>
    <row r="510" spans="2:172" ht="12.75">
      <c r="B510" s="3"/>
      <c r="FP510" s="3"/>
    </row>
    <row r="511" spans="2:172" ht="12.75">
      <c r="B511" s="3"/>
      <c r="FP511" s="3"/>
    </row>
    <row r="512" spans="2:172" ht="12.75">
      <c r="B512" s="3"/>
      <c r="FP512" s="3"/>
    </row>
    <row r="513" spans="2:172" ht="12.75">
      <c r="B513" s="3"/>
      <c r="FP513" s="3"/>
    </row>
    <row r="514" spans="2:172" ht="12.75">
      <c r="B514" s="3"/>
      <c r="FP514" s="3"/>
    </row>
    <row r="515" spans="2:172" ht="12.75">
      <c r="B515" s="3"/>
      <c r="FP515" s="3"/>
    </row>
    <row r="516" spans="2:172" ht="12.75">
      <c r="B516" s="3"/>
      <c r="FP516" s="3"/>
    </row>
    <row r="517" spans="2:172" ht="12.75">
      <c r="B517" s="3"/>
      <c r="FP517" s="3"/>
    </row>
    <row r="518" spans="2:172" ht="12.75">
      <c r="B518" s="3"/>
      <c r="FP518" s="3"/>
    </row>
    <row r="519" spans="2:172" ht="12.75">
      <c r="B519" s="3"/>
      <c r="FP519" s="3"/>
    </row>
    <row r="520" spans="2:172" ht="12.75">
      <c r="B520" s="3"/>
      <c r="FP520" s="3"/>
    </row>
    <row r="521" spans="2:172" ht="12.75">
      <c r="B521" s="3"/>
      <c r="FP521" s="3"/>
    </row>
    <row r="522" spans="2:172" ht="12.75">
      <c r="B522" s="3"/>
      <c r="FP522" s="3"/>
    </row>
    <row r="523" spans="2:172" ht="12.75">
      <c r="B523" s="3"/>
      <c r="FP523" s="3"/>
    </row>
    <row r="524" spans="2:172" ht="12.75">
      <c r="B524" s="3"/>
      <c r="FP524" s="3"/>
    </row>
    <row r="525" spans="2:172" ht="12.75">
      <c r="B525" s="3"/>
      <c r="FP525" s="3"/>
    </row>
    <row r="526" spans="2:172" ht="12.75">
      <c r="B526" s="3"/>
      <c r="FP526" s="3"/>
    </row>
    <row r="527" spans="2:172" ht="12.75">
      <c r="B527" s="3"/>
      <c r="FP527" s="3"/>
    </row>
    <row r="528" spans="2:172" ht="12.75">
      <c r="B528" s="3"/>
      <c r="FP528" s="3"/>
    </row>
    <row r="529" spans="2:172" ht="12.75">
      <c r="B529" s="3"/>
      <c r="FP529" s="3"/>
    </row>
    <row r="530" spans="2:172" ht="12.75">
      <c r="B530" s="3"/>
      <c r="FP530" s="3"/>
    </row>
    <row r="531" spans="2:172" ht="12.75">
      <c r="B531" s="3"/>
      <c r="FP531" s="3"/>
    </row>
    <row r="532" spans="2:172" ht="12.75">
      <c r="B532" s="3"/>
      <c r="FP532" s="3"/>
    </row>
    <row r="533" spans="2:172" ht="12.75">
      <c r="B533" s="3"/>
      <c r="FP533" s="3"/>
    </row>
    <row r="534" spans="2:172" ht="12.75">
      <c r="B534" s="3"/>
      <c r="FP534" s="3"/>
    </row>
    <row r="535" spans="2:172" ht="12.75">
      <c r="B535" s="3"/>
      <c r="FP535" s="3"/>
    </row>
    <row r="536" spans="2:172" ht="12.75">
      <c r="B536" s="3"/>
      <c r="FP536" s="3"/>
    </row>
    <row r="537" spans="2:172" ht="12.75">
      <c r="B537" s="3"/>
      <c r="FP537" s="3"/>
    </row>
    <row r="538" spans="2:172" ht="12.75">
      <c r="B538" s="3"/>
      <c r="FP538" s="3"/>
    </row>
    <row r="539" spans="2:172" ht="12.75">
      <c r="B539" s="3"/>
      <c r="FP539" s="3"/>
    </row>
    <row r="540" spans="2:172" ht="12.75">
      <c r="B540" s="3"/>
      <c r="FP540" s="3"/>
    </row>
    <row r="541" spans="2:172" ht="12.75">
      <c r="B541" s="3"/>
      <c r="FP541" s="3"/>
    </row>
    <row r="542" spans="2:172" ht="12.75">
      <c r="B542" s="3"/>
      <c r="FP542" s="3"/>
    </row>
    <row r="543" spans="2:172" ht="12.75">
      <c r="B543" s="3"/>
      <c r="FP543" s="3"/>
    </row>
    <row r="544" spans="2:172" ht="12.75">
      <c r="B544" s="3"/>
      <c r="FP544" s="3"/>
    </row>
    <row r="545" spans="2:172" ht="12.75">
      <c r="B545" s="3"/>
      <c r="FP545" s="3"/>
    </row>
    <row r="546" spans="2:172" ht="12.75">
      <c r="B546" s="3"/>
      <c r="FP546" s="3"/>
    </row>
    <row r="547" spans="2:172" ht="12.75">
      <c r="B547" s="3"/>
      <c r="FP547" s="3"/>
    </row>
    <row r="548" spans="2:172" ht="12.75">
      <c r="B548" s="3"/>
      <c r="FP548" s="3"/>
    </row>
    <row r="549" spans="2:172" ht="12.75">
      <c r="B549" s="3"/>
      <c r="FP549" s="3"/>
    </row>
    <row r="550" spans="2:172" ht="12.75">
      <c r="B550" s="3"/>
      <c r="FP550" s="3"/>
    </row>
    <row r="551" spans="2:172" ht="12.75">
      <c r="B551" s="3"/>
      <c r="FP551" s="3"/>
    </row>
    <row r="552" spans="2:172" ht="12.75">
      <c r="B552" s="3"/>
      <c r="FP552" s="3"/>
    </row>
    <row r="553" spans="2:172" ht="12.75">
      <c r="B553" s="3"/>
      <c r="FP553" s="3"/>
    </row>
    <row r="554" spans="2:172" ht="12.75">
      <c r="B554" s="3"/>
      <c r="FP554" s="3"/>
    </row>
    <row r="555" spans="2:172" ht="12.75">
      <c r="B555" s="3"/>
      <c r="FP555" s="3"/>
    </row>
    <row r="556" spans="2:172" ht="12.75">
      <c r="B556" s="3"/>
      <c r="FP556" s="3"/>
    </row>
    <row r="557" spans="2:172" ht="12.75">
      <c r="B557" s="3"/>
      <c r="FP557" s="3"/>
    </row>
    <row r="558" spans="2:172" ht="12.75">
      <c r="B558" s="3"/>
      <c r="FP558" s="3"/>
    </row>
    <row r="559" spans="2:172" ht="12.75">
      <c r="B559" s="3"/>
      <c r="FP559" s="3"/>
    </row>
    <row r="560" spans="2:172" ht="12.75">
      <c r="B560" s="3"/>
      <c r="FP560" s="3"/>
    </row>
    <row r="561" spans="2:172" ht="12.75">
      <c r="B561" s="3"/>
      <c r="FP561" s="3"/>
    </row>
    <row r="562" spans="2:172" ht="12.75">
      <c r="B562" s="3"/>
      <c r="FP562" s="3"/>
    </row>
    <row r="563" spans="2:172" ht="12.75">
      <c r="B563" s="3"/>
      <c r="FP563" s="3"/>
    </row>
    <row r="564" spans="2:172" ht="12.75">
      <c r="B564" s="3"/>
      <c r="FP564" s="3"/>
    </row>
    <row r="565" spans="2:172" ht="12.75">
      <c r="B565" s="3"/>
      <c r="FP565" s="3"/>
    </row>
    <row r="566" spans="2:172" ht="12.75">
      <c r="B566" s="3"/>
      <c r="FP566" s="3"/>
    </row>
    <row r="567" spans="2:172" ht="12.75">
      <c r="B567" s="3"/>
      <c r="FP567" s="3"/>
    </row>
    <row r="568" spans="2:172" ht="12.75">
      <c r="B568" s="3"/>
      <c r="FP568" s="3"/>
    </row>
    <row r="569" spans="2:172" ht="12.75">
      <c r="B569" s="3"/>
      <c r="FP569" s="3"/>
    </row>
    <row r="570" spans="2:172" ht="12.75">
      <c r="B570" s="3"/>
      <c r="FP570" s="3"/>
    </row>
    <row r="571" spans="2:172" ht="12.75">
      <c r="B571" s="3"/>
      <c r="FP571" s="3"/>
    </row>
    <row r="572" spans="2:172" ht="12.75">
      <c r="B572" s="3"/>
      <c r="FP572" s="3"/>
    </row>
    <row r="573" spans="2:172" ht="12.75">
      <c r="B573" s="3"/>
      <c r="FP573" s="3"/>
    </row>
    <row r="574" spans="2:172" ht="12.75">
      <c r="B574" s="3"/>
      <c r="FP574" s="3"/>
    </row>
    <row r="575" spans="2:172" ht="12.75">
      <c r="B575" s="3"/>
      <c r="FP575" s="3"/>
    </row>
    <row r="576" spans="2:172" ht="12.75">
      <c r="B576" s="3"/>
      <c r="FP576" s="3"/>
    </row>
    <row r="577" spans="2:172" ht="12.75">
      <c r="B577" s="3"/>
      <c r="FP577" s="3"/>
    </row>
    <row r="578" spans="2:172" ht="12.75">
      <c r="B578" s="3"/>
      <c r="FP578" s="3"/>
    </row>
    <row r="579" spans="2:172" ht="12.75">
      <c r="B579" s="3"/>
      <c r="FP579" s="3"/>
    </row>
    <row r="580" spans="2:172" ht="12.75">
      <c r="B580" s="3"/>
      <c r="FP580" s="3"/>
    </row>
    <row r="581" spans="2:172" ht="12.75">
      <c r="B581" s="3"/>
      <c r="FP581" s="3"/>
    </row>
    <row r="582" spans="2:172" ht="12.75">
      <c r="B582" s="3"/>
      <c r="FP582" s="3"/>
    </row>
    <row r="583" spans="2:172" ht="12.75">
      <c r="B583" s="3"/>
      <c r="FP583" s="3"/>
    </row>
    <row r="584" spans="2:172" ht="12.75">
      <c r="B584" s="3"/>
      <c r="FP584" s="3"/>
    </row>
    <row r="585" spans="2:172" ht="12.75">
      <c r="B585" s="3"/>
      <c r="FP585" s="3"/>
    </row>
    <row r="586" spans="2:172" ht="12.75">
      <c r="B586" s="3"/>
      <c r="FP586" s="3"/>
    </row>
    <row r="587" spans="2:172" ht="12.75">
      <c r="B587" s="3"/>
      <c r="FP587" s="3"/>
    </row>
    <row r="588" spans="2:172" ht="12.75">
      <c r="B588" s="3"/>
      <c r="FP588" s="3"/>
    </row>
    <row r="589" spans="2:172" ht="12.75">
      <c r="B589" s="3"/>
      <c r="FP589" s="3"/>
    </row>
    <row r="590" spans="2:172" ht="12.75">
      <c r="B590" s="3"/>
      <c r="FP590" s="3"/>
    </row>
    <row r="591" spans="2:172" ht="12.75">
      <c r="B591" s="3"/>
      <c r="FP591" s="3"/>
    </row>
    <row r="592" spans="2:172" ht="12.75">
      <c r="B592" s="3"/>
      <c r="FP592" s="3"/>
    </row>
    <row r="593" spans="2:172" ht="12.75">
      <c r="B593" s="3"/>
      <c r="FP593" s="3"/>
    </row>
    <row r="594" spans="2:172" ht="12.75">
      <c r="B594" s="3"/>
      <c r="FP594" s="3"/>
    </row>
    <row r="595" spans="2:172" ht="12.75">
      <c r="B595" s="3"/>
      <c r="FP595" s="3"/>
    </row>
    <row r="596" spans="2:172" ht="12.75">
      <c r="B596" s="3"/>
      <c r="FP596" s="3"/>
    </row>
    <row r="597" spans="2:172" ht="12.75">
      <c r="B597" s="3"/>
      <c r="FP597" s="3"/>
    </row>
    <row r="598" spans="2:172" ht="12.75">
      <c r="B598" s="3"/>
      <c r="FP598" s="3"/>
    </row>
    <row r="599" spans="2:172" ht="12.75">
      <c r="B599" s="3"/>
      <c r="FP599" s="3"/>
    </row>
    <row r="600" spans="2:172" ht="12.75">
      <c r="B600" s="3"/>
      <c r="FP600" s="3"/>
    </row>
    <row r="601" spans="2:172" ht="12.75">
      <c r="B601" s="3"/>
      <c r="FP601" s="3"/>
    </row>
    <row r="602" spans="2:172" ht="12.75">
      <c r="B602" s="3"/>
      <c r="FP602" s="3"/>
    </row>
    <row r="603" spans="2:172" ht="12.75">
      <c r="B603" s="3"/>
      <c r="FP603" s="3"/>
    </row>
    <row r="604" spans="2:172" ht="12.75">
      <c r="B604" s="3"/>
      <c r="FP604" s="3"/>
    </row>
    <row r="605" spans="2:172" ht="12.75">
      <c r="B605" s="3"/>
      <c r="FP605" s="3"/>
    </row>
    <row r="606" spans="2:172" ht="12.75">
      <c r="B606" s="3"/>
      <c r="FP606" s="3"/>
    </row>
    <row r="607" spans="2:172" ht="12.75">
      <c r="B607" s="3"/>
      <c r="FP607" s="3"/>
    </row>
    <row r="608" spans="2:172" ht="12.75">
      <c r="B608" s="3"/>
      <c r="FP608" s="3"/>
    </row>
    <row r="609" spans="2:172" ht="12.75">
      <c r="B609" s="3"/>
      <c r="FP609" s="3"/>
    </row>
    <row r="610" spans="2:172" ht="12.75">
      <c r="B610" s="3"/>
      <c r="FP610" s="3"/>
    </row>
    <row r="611" spans="2:172" ht="12.75">
      <c r="B611" s="3"/>
      <c r="FP611" s="3"/>
    </row>
    <row r="612" spans="2:172" ht="12.75">
      <c r="B612" s="3"/>
      <c r="FP612" s="3"/>
    </row>
    <row r="613" spans="2:172" ht="12.75">
      <c r="B613" s="3"/>
      <c r="FP613" s="3"/>
    </row>
    <row r="614" spans="2:172" ht="12.75">
      <c r="B614" s="3"/>
      <c r="FP614" s="3"/>
    </row>
    <row r="615" spans="2:172" ht="12.75">
      <c r="B615" s="3"/>
      <c r="FP615" s="3"/>
    </row>
    <row r="616" spans="2:172" ht="12.75">
      <c r="B616" s="3"/>
      <c r="FP616" s="3"/>
    </row>
    <row r="617" spans="2:172" ht="12.75">
      <c r="B617" s="3"/>
      <c r="FP617" s="3"/>
    </row>
    <row r="618" spans="2:172" ht="12.75">
      <c r="B618" s="3"/>
      <c r="FP618" s="3"/>
    </row>
    <row r="619" spans="2:172" ht="12.75">
      <c r="B619" s="3"/>
      <c r="FP619" s="3"/>
    </row>
    <row r="620" spans="2:172" ht="12.75">
      <c r="B620" s="3"/>
      <c r="FP620" s="3"/>
    </row>
    <row r="621" spans="2:172" ht="12.75">
      <c r="B621" s="3"/>
      <c r="FP621" s="3"/>
    </row>
    <row r="622" spans="2:172" ht="12.75">
      <c r="B622" s="3"/>
      <c r="FP622" s="3"/>
    </row>
    <row r="623" spans="2:172" ht="12.75">
      <c r="B623" s="3"/>
      <c r="FP623" s="3"/>
    </row>
    <row r="624" spans="2:172" ht="12.75">
      <c r="B624" s="3"/>
      <c r="FP624" s="3"/>
    </row>
    <row r="625" spans="2:172" ht="12.75">
      <c r="B625" s="3"/>
      <c r="FP625" s="3"/>
    </row>
    <row r="626" spans="2:172" ht="12.75">
      <c r="B626" s="3"/>
      <c r="FP626" s="3"/>
    </row>
    <row r="627" spans="2:172" ht="12.75">
      <c r="B627" s="3"/>
      <c r="FP627" s="3"/>
    </row>
    <row r="628" spans="2:172" ht="12.75">
      <c r="B628" s="3"/>
      <c r="FP628" s="3"/>
    </row>
    <row r="629" spans="2:172" ht="12.75">
      <c r="B629" s="3"/>
      <c r="FP629" s="3"/>
    </row>
    <row r="630" spans="2:172" ht="12.75">
      <c r="B630" s="3"/>
      <c r="FP630" s="3"/>
    </row>
    <row r="631" spans="2:172" ht="12.75">
      <c r="B631" s="3"/>
      <c r="FP631" s="3"/>
    </row>
    <row r="632" spans="2:172" ht="12.75">
      <c r="B632" s="3"/>
      <c r="FP632" s="3"/>
    </row>
    <row r="633" spans="2:172" ht="12.75">
      <c r="B633" s="3"/>
      <c r="FP633" s="3"/>
    </row>
    <row r="634" spans="2:172" ht="12.75">
      <c r="B634" s="3"/>
      <c r="FP634" s="3"/>
    </row>
    <row r="635" spans="2:172" ht="12.75">
      <c r="B635" s="3"/>
      <c r="FP635" s="3"/>
    </row>
    <row r="636" spans="2:172" ht="12.75">
      <c r="B636" s="3"/>
      <c r="FP636" s="3"/>
    </row>
    <row r="637" spans="2:172" ht="12.75">
      <c r="B637" s="3"/>
      <c r="FP637" s="3"/>
    </row>
    <row r="638" spans="2:172" ht="12.75">
      <c r="B638" s="3"/>
      <c r="FP638" s="3"/>
    </row>
    <row r="639" spans="2:172" ht="12.75">
      <c r="B639" s="3"/>
      <c r="FP639" s="3"/>
    </row>
    <row r="640" spans="2:172" ht="12.75">
      <c r="B640" s="3"/>
      <c r="FP640" s="3"/>
    </row>
    <row r="641" spans="2:172" ht="12.75">
      <c r="B641" s="3"/>
      <c r="FP641" s="3"/>
    </row>
    <row r="642" spans="2:172" ht="12.75">
      <c r="B642" s="3"/>
      <c r="FP642" s="3"/>
    </row>
    <row r="643" spans="2:172" ht="12.75">
      <c r="B643" s="3"/>
      <c r="FP643" s="3"/>
    </row>
    <row r="644" spans="2:172" ht="12.75">
      <c r="B644" s="3"/>
      <c r="FP644" s="3"/>
    </row>
    <row r="645" spans="2:172" ht="12.75">
      <c r="B645" s="3"/>
      <c r="FP645" s="3"/>
    </row>
    <row r="646" spans="2:172" ht="12.75">
      <c r="B646" s="3"/>
      <c r="FP646" s="3"/>
    </row>
    <row r="647" spans="2:172" ht="12.75">
      <c r="B647" s="3"/>
      <c r="FP647" s="3"/>
    </row>
    <row r="648" spans="2:172" ht="12.75">
      <c r="B648" s="3"/>
      <c r="FP648" s="3"/>
    </row>
    <row r="649" spans="2:172" ht="12.75">
      <c r="B649" s="3"/>
      <c r="FP649" s="3"/>
    </row>
    <row r="650" spans="2:172" ht="12.75">
      <c r="B650" s="3"/>
      <c r="FP650" s="3"/>
    </row>
    <row r="651" spans="2:172" ht="12.75">
      <c r="B651" s="3"/>
      <c r="FP651" s="3"/>
    </row>
    <row r="652" spans="2:172" ht="12.75">
      <c r="B652" s="3"/>
      <c r="FP652" s="3"/>
    </row>
    <row r="653" spans="2:172" ht="12.75">
      <c r="B653" s="3"/>
      <c r="FP653" s="3"/>
    </row>
    <row r="654" spans="2:172" ht="12.75">
      <c r="B654" s="3"/>
      <c r="FP654" s="3"/>
    </row>
    <row r="655" spans="2:172" ht="12.75">
      <c r="B655" s="3"/>
      <c r="FP655" s="3"/>
    </row>
    <row r="656" spans="2:172" ht="12.75">
      <c r="B656" s="3"/>
      <c r="FP656" s="3"/>
    </row>
    <row r="657" spans="2:172" ht="12.75">
      <c r="B657" s="3"/>
      <c r="FP657" s="3"/>
    </row>
    <row r="658" spans="2:172" ht="12.75">
      <c r="B658" s="3"/>
      <c r="FP658" s="3"/>
    </row>
    <row r="659" spans="2:172" ht="12.75">
      <c r="B659" s="3"/>
      <c r="FP659" s="3"/>
    </row>
    <row r="660" spans="2:172" ht="12.75">
      <c r="B660" s="3"/>
      <c r="FP660" s="3"/>
    </row>
    <row r="661" spans="2:172" ht="12.75">
      <c r="B661" s="3"/>
      <c r="FP661" s="3"/>
    </row>
    <row r="662" spans="2:172" ht="12.75">
      <c r="B662" s="3"/>
      <c r="FP662" s="3"/>
    </row>
    <row r="663" spans="2:172" ht="12.75">
      <c r="B663" s="3"/>
      <c r="FP663" s="3"/>
    </row>
    <row r="664" spans="2:172" ht="12.75">
      <c r="B664" s="3"/>
      <c r="FP664" s="3"/>
    </row>
    <row r="665" spans="2:172" ht="12.75">
      <c r="B665" s="3"/>
      <c r="FP665" s="3"/>
    </row>
    <row r="666" spans="2:172" ht="12.75">
      <c r="B666" s="3"/>
      <c r="FP666" s="3"/>
    </row>
    <row r="667" spans="2:172" ht="12.75">
      <c r="B667" s="3"/>
      <c r="FP667" s="3"/>
    </row>
    <row r="668" spans="2:172" ht="12.75">
      <c r="B668" s="3"/>
      <c r="FP668" s="3"/>
    </row>
    <row r="669" spans="2:172" ht="12.75">
      <c r="B669" s="3"/>
      <c r="FP669" s="3"/>
    </row>
    <row r="670" spans="2:172" ht="12.75">
      <c r="B670" s="3"/>
      <c r="FP670" s="3"/>
    </row>
    <row r="671" spans="2:172" ht="12.75">
      <c r="B671" s="3"/>
      <c r="FP671" s="3"/>
    </row>
    <row r="672" spans="2:172" ht="12.75">
      <c r="B672" s="3"/>
      <c r="FP672" s="3"/>
    </row>
    <row r="673" spans="2:172" ht="12.75">
      <c r="B673" s="3"/>
      <c r="FP673" s="3"/>
    </row>
    <row r="674" spans="2:172" ht="12.75">
      <c r="B674" s="3"/>
      <c r="FP674" s="3"/>
    </row>
    <row r="675" spans="2:172" ht="12.75">
      <c r="B675" s="3"/>
      <c r="FP675" s="3"/>
    </row>
    <row r="676" spans="2:172" ht="12.75">
      <c r="B676" s="3"/>
      <c r="FP676" s="3"/>
    </row>
    <row r="677" spans="2:172" ht="12.75">
      <c r="B677" s="3"/>
      <c r="FP677" s="3"/>
    </row>
    <row r="678" spans="2:172" ht="12.75">
      <c r="B678" s="3"/>
      <c r="FP678" s="3"/>
    </row>
    <row r="679" spans="2:172" ht="12.75">
      <c r="B679" s="3"/>
      <c r="FP679" s="3"/>
    </row>
    <row r="680" spans="2:172" ht="12.75">
      <c r="B680" s="3"/>
      <c r="FP680" s="3"/>
    </row>
    <row r="681" spans="2:172" ht="12.75">
      <c r="B681" s="3"/>
      <c r="FP681" s="3"/>
    </row>
    <row r="682" spans="2:172" ht="12.75">
      <c r="B682" s="3"/>
      <c r="FP682" s="3"/>
    </row>
    <row r="683" spans="2:172" ht="12.75">
      <c r="B683" s="3"/>
      <c r="FP683" s="3"/>
    </row>
    <row r="684" spans="2:172" ht="12.75">
      <c r="B684" s="3"/>
      <c r="FP684" s="3"/>
    </row>
    <row r="685" spans="2:172" ht="12.75">
      <c r="B685" s="3"/>
      <c r="FP685" s="3"/>
    </row>
    <row r="686" spans="2:172" ht="12.75">
      <c r="B686" s="3"/>
      <c r="FP686" s="3"/>
    </row>
    <row r="687" spans="2:172" ht="12.75">
      <c r="B687" s="3"/>
      <c r="FP687" s="3"/>
    </row>
    <row r="688" spans="2:172" ht="12.75">
      <c r="B688" s="3"/>
      <c r="FP688" s="3"/>
    </row>
    <row r="689" spans="2:172" ht="12.75">
      <c r="B689" s="3"/>
      <c r="FP689" s="3"/>
    </row>
    <row r="690" spans="2:172" ht="12.75">
      <c r="B690" s="3"/>
      <c r="FP690" s="3"/>
    </row>
    <row r="691" spans="2:172" ht="12.75">
      <c r="B691" s="3"/>
      <c r="FP691" s="3"/>
    </row>
    <row r="692" spans="2:172" ht="12.75">
      <c r="B692" s="3"/>
      <c r="FP692" s="3"/>
    </row>
    <row r="693" spans="2:172" ht="12.75">
      <c r="B693" s="3"/>
      <c r="FP693" s="3"/>
    </row>
    <row r="694" spans="2:172" ht="12.75">
      <c r="B694" s="3"/>
      <c r="FP694" s="3"/>
    </row>
    <row r="695" spans="2:172" ht="12.75">
      <c r="B695" s="3"/>
      <c r="FP695" s="3"/>
    </row>
    <row r="696" spans="2:172" ht="12.75">
      <c r="B696" s="3"/>
      <c r="FP696" s="3"/>
    </row>
    <row r="697" spans="2:172" ht="12.75">
      <c r="B697" s="3"/>
      <c r="FP697" s="3"/>
    </row>
    <row r="698" spans="2:172" ht="12.75">
      <c r="B698" s="3"/>
      <c r="FP698" s="3"/>
    </row>
    <row r="699" spans="2:172" ht="12.75">
      <c r="B699" s="3"/>
      <c r="FP699" s="3"/>
    </row>
    <row r="700" spans="2:172" ht="12.75">
      <c r="B700" s="3"/>
      <c r="FP700" s="3"/>
    </row>
    <row r="701" spans="2:172" ht="12.75">
      <c r="B701" s="3"/>
      <c r="FP701" s="3"/>
    </row>
    <row r="702" spans="2:172" ht="12.75">
      <c r="B702" s="3"/>
      <c r="FP702" s="3"/>
    </row>
    <row r="703" spans="2:172" ht="12.75">
      <c r="B703" s="3"/>
      <c r="FP703" s="3"/>
    </row>
    <row r="704" spans="2:172" ht="12.75">
      <c r="B704" s="3"/>
      <c r="FP704" s="3"/>
    </row>
    <row r="705" spans="2:172" ht="12.75">
      <c r="B705" s="3"/>
      <c r="FP705" s="3"/>
    </row>
    <row r="706" spans="2:172" ht="12.75">
      <c r="B706" s="3"/>
      <c r="FP706" s="3"/>
    </row>
    <row r="707" spans="2:172" ht="12.75">
      <c r="B707" s="3"/>
      <c r="FP707" s="3"/>
    </row>
    <row r="708" spans="2:172" ht="12.75">
      <c r="B708" s="3"/>
      <c r="FP708" s="3"/>
    </row>
    <row r="709" spans="2:172" ht="12.75">
      <c r="B709" s="3"/>
      <c r="FP709" s="3"/>
    </row>
    <row r="710" spans="2:172" ht="12.75">
      <c r="B710" s="3"/>
      <c r="FP710" s="3"/>
    </row>
    <row r="711" spans="2:172" ht="12.75">
      <c r="B711" s="3"/>
      <c r="FP711" s="3"/>
    </row>
    <row r="712" spans="2:172" ht="12.75">
      <c r="B712" s="3"/>
      <c r="FP712" s="3"/>
    </row>
    <row r="713" spans="2:172" ht="12.75">
      <c r="B713" s="3"/>
      <c r="FP713" s="3"/>
    </row>
    <row r="714" spans="2:172" ht="12.75">
      <c r="B714" s="3"/>
      <c r="FP714" s="3"/>
    </row>
    <row r="715" spans="2:172" ht="12.75">
      <c r="B715" s="3"/>
      <c r="FP715" s="3"/>
    </row>
    <row r="716" spans="2:172" ht="12.75">
      <c r="B716" s="3"/>
      <c r="FP716" s="3"/>
    </row>
    <row r="717" spans="2:172" ht="12.75">
      <c r="B717" s="3"/>
      <c r="FP717" s="3"/>
    </row>
    <row r="718" spans="2:172" ht="12.75">
      <c r="B718" s="3"/>
      <c r="FP718" s="3"/>
    </row>
    <row r="719" spans="2:172" ht="12.75">
      <c r="B719" s="3"/>
      <c r="FP719" s="3"/>
    </row>
    <row r="720" spans="2:172" ht="12.75">
      <c r="B720" s="3"/>
      <c r="FP720" s="3"/>
    </row>
    <row r="721" spans="2:172" ht="12.75">
      <c r="B721" s="3"/>
      <c r="FP721" s="3"/>
    </row>
    <row r="722" spans="2:172" ht="12.75">
      <c r="B722" s="3"/>
      <c r="FP722" s="3"/>
    </row>
    <row r="723" spans="2:172" ht="12.75">
      <c r="B723" s="3"/>
      <c r="FP723" s="3"/>
    </row>
    <row r="724" spans="2:172" ht="12.75">
      <c r="B724" s="3"/>
      <c r="FP724" s="3"/>
    </row>
    <row r="725" spans="2:172" ht="12.75">
      <c r="B725" s="3"/>
      <c r="FP725" s="3"/>
    </row>
    <row r="726" spans="2:172" ht="12.75">
      <c r="B726" s="3"/>
      <c r="FP726" s="3"/>
    </row>
    <row r="727" spans="2:172" ht="12.75">
      <c r="B727" s="3"/>
      <c r="FP727" s="3"/>
    </row>
    <row r="728" spans="2:172" ht="12.75">
      <c r="B728" s="3"/>
      <c r="FP728" s="3"/>
    </row>
    <row r="729" spans="2:172" ht="12.75">
      <c r="B729" s="3"/>
      <c r="FP729" s="3"/>
    </row>
    <row r="730" spans="2:172" ht="12.75">
      <c r="B730" s="3"/>
      <c r="FP730" s="3"/>
    </row>
    <row r="731" spans="2:172" ht="12.75">
      <c r="B731" s="3"/>
      <c r="FP731" s="3"/>
    </row>
    <row r="732" spans="2:172" ht="12.75">
      <c r="B732" s="3"/>
      <c r="FP732" s="3"/>
    </row>
    <row r="733" spans="2:172" ht="12.75">
      <c r="B733" s="3"/>
      <c r="FP733" s="3"/>
    </row>
    <row r="734" spans="2:172" ht="12.75">
      <c r="B734" s="3"/>
      <c r="FP734" s="3"/>
    </row>
    <row r="735" spans="2:172" ht="12.75">
      <c r="B735" s="3"/>
      <c r="FP735" s="3"/>
    </row>
    <row r="736" spans="2:172" ht="12.75">
      <c r="B736" s="3"/>
      <c r="FP736" s="3"/>
    </row>
    <row r="737" spans="2:172" ht="12.75">
      <c r="B737" s="3"/>
      <c r="FP737" s="3"/>
    </row>
    <row r="738" spans="2:172" ht="12.75">
      <c r="B738" s="3"/>
      <c r="FP738" s="3"/>
    </row>
    <row r="739" spans="2:172" ht="12.75">
      <c r="B739" s="3"/>
      <c r="FP739" s="3"/>
    </row>
    <row r="740" spans="2:172" ht="12.75">
      <c r="B740" s="3"/>
      <c r="FP740" s="3"/>
    </row>
    <row r="741" spans="2:172" ht="12.75">
      <c r="B741" s="3"/>
      <c r="FP741" s="3"/>
    </row>
    <row r="742" spans="2:172" ht="12.75">
      <c r="B742" s="3"/>
      <c r="FP742" s="3"/>
    </row>
    <row r="743" spans="2:172" ht="12.75">
      <c r="B743" s="3"/>
      <c r="FP743" s="3"/>
    </row>
    <row r="744" spans="2:172" ht="12.75">
      <c r="B744" s="3"/>
      <c r="FP744" s="3"/>
    </row>
    <row r="745" spans="2:172" ht="12.75">
      <c r="B745" s="3"/>
      <c r="FP745" s="3"/>
    </row>
    <row r="746" spans="2:172" ht="12.75">
      <c r="B746" s="3"/>
      <c r="FP746" s="3"/>
    </row>
    <row r="747" spans="2:172" ht="12.75">
      <c r="B747" s="3"/>
      <c r="FP747" s="3"/>
    </row>
    <row r="748" spans="2:172" ht="12.75">
      <c r="B748" s="3"/>
      <c r="FP748" s="3"/>
    </row>
    <row r="749" spans="2:172" ht="12.75">
      <c r="B749" s="3"/>
      <c r="FP749" s="3"/>
    </row>
    <row r="750" spans="2:172" ht="12.75">
      <c r="B750" s="3"/>
      <c r="FP750" s="3"/>
    </row>
    <row r="751" spans="2:172" ht="12.75">
      <c r="B751" s="3"/>
      <c r="FP751" s="3"/>
    </row>
    <row r="752" spans="2:172" ht="12.75">
      <c r="B752" s="3"/>
      <c r="FP752" s="3"/>
    </row>
    <row r="753" spans="2:172" ht="12.75">
      <c r="B753" s="3"/>
      <c r="FP753" s="3"/>
    </row>
    <row r="754" spans="2:172" ht="12.75">
      <c r="B754" s="3"/>
      <c r="FP754" s="3"/>
    </row>
    <row r="755" spans="2:172" ht="12.75">
      <c r="B755" s="3"/>
      <c r="FP755" s="3"/>
    </row>
    <row r="756" spans="2:172" ht="12.75">
      <c r="B756" s="3"/>
      <c r="FP756" s="3"/>
    </row>
    <row r="757" spans="2:172" ht="12.75">
      <c r="B757" s="3"/>
      <c r="FP757" s="3"/>
    </row>
    <row r="758" spans="2:172" ht="12.75">
      <c r="B758" s="3"/>
      <c r="FP758" s="3"/>
    </row>
    <row r="759" spans="2:172" ht="12.75">
      <c r="B759" s="3"/>
      <c r="FP759" s="3"/>
    </row>
    <row r="760" spans="2:172" ht="12.75">
      <c r="B760" s="3"/>
      <c r="FP760" s="3"/>
    </row>
    <row r="761" spans="2:172" ht="12.75">
      <c r="B761" s="3"/>
      <c r="FP761" s="3"/>
    </row>
    <row r="762" spans="2:172" ht="12.75">
      <c r="B762" s="3"/>
      <c r="FP762" s="3"/>
    </row>
    <row r="763" spans="2:172" ht="12.75">
      <c r="B763" s="3"/>
      <c r="FP763" s="3"/>
    </row>
    <row r="764" spans="2:172" ht="12.75">
      <c r="B764" s="3"/>
      <c r="FP764" s="3"/>
    </row>
    <row r="765" spans="2:172" ht="12.75">
      <c r="B765" s="3"/>
      <c r="FP765" s="3"/>
    </row>
    <row r="766" spans="2:172" ht="12.75">
      <c r="B766" s="3"/>
      <c r="FP766" s="3"/>
    </row>
    <row r="767" spans="2:172" ht="12.75">
      <c r="B767" s="3"/>
      <c r="FP767" s="3"/>
    </row>
    <row r="768" spans="2:172" ht="12.75">
      <c r="B768" s="3"/>
      <c r="FP768" s="3"/>
    </row>
    <row r="769" spans="2:172" ht="12.75">
      <c r="B769" s="3"/>
      <c r="FP769" s="3"/>
    </row>
    <row r="770" spans="2:172" ht="12.75">
      <c r="B770" s="3"/>
      <c r="FP770" s="3"/>
    </row>
    <row r="771" spans="2:172" ht="12.75">
      <c r="B771" s="3"/>
      <c r="FP771" s="3"/>
    </row>
    <row r="772" spans="2:172" ht="12.75">
      <c r="B772" s="3"/>
      <c r="FP772" s="3"/>
    </row>
    <row r="773" spans="2:172" ht="12.75">
      <c r="B773" s="3"/>
      <c r="FP773" s="3"/>
    </row>
    <row r="774" spans="2:172" ht="12.75">
      <c r="B774" s="3"/>
      <c r="FP774" s="3"/>
    </row>
    <row r="775" spans="2:172" ht="12.75">
      <c r="B775" s="3"/>
      <c r="FP775" s="3"/>
    </row>
    <row r="776" spans="2:172" ht="12.75">
      <c r="B776" s="3"/>
      <c r="FP776" s="3"/>
    </row>
    <row r="777" spans="2:172" ht="12.75">
      <c r="B777" s="3"/>
      <c r="FP777" s="3"/>
    </row>
    <row r="778" spans="2:172" ht="12.75">
      <c r="B778" s="3"/>
      <c r="FP778" s="3"/>
    </row>
    <row r="779" spans="2:172" ht="12.75">
      <c r="B779" s="3"/>
      <c r="FP779" s="3"/>
    </row>
    <row r="780" spans="2:172" ht="12.75">
      <c r="B780" s="3"/>
      <c r="FP780" s="3"/>
    </row>
    <row r="781" spans="2:172" ht="12.75">
      <c r="B781" s="3"/>
      <c r="FP781" s="3"/>
    </row>
    <row r="782" spans="2:172" ht="12.75">
      <c r="B782" s="3"/>
      <c r="FP782" s="3"/>
    </row>
    <row r="783" spans="2:172" ht="12.75">
      <c r="B783" s="3"/>
      <c r="FP783" s="3"/>
    </row>
    <row r="784" spans="2:172" ht="12.75">
      <c r="B784" s="3"/>
      <c r="FP784" s="3"/>
    </row>
    <row r="785" spans="2:172" ht="12.75">
      <c r="B785" s="3"/>
      <c r="FP785" s="3"/>
    </row>
    <row r="786" spans="2:172" ht="12.75">
      <c r="B786" s="3"/>
      <c r="FP786" s="3"/>
    </row>
    <row r="787" spans="2:172" ht="12.75">
      <c r="B787" s="3"/>
      <c r="FP787" s="3"/>
    </row>
    <row r="788" spans="2:172" ht="12.75">
      <c r="B788" s="3"/>
      <c r="FP788" s="3"/>
    </row>
    <row r="789" spans="2:172" ht="12.75">
      <c r="B789" s="3"/>
      <c r="FP789" s="3"/>
    </row>
    <row r="790" spans="2:172" ht="12.75">
      <c r="B790" s="3"/>
      <c r="FP790" s="3"/>
    </row>
    <row r="791" spans="2:172" ht="12.75">
      <c r="B791" s="3"/>
      <c r="FP791" s="3"/>
    </row>
    <row r="792" spans="2:172" ht="12.75">
      <c r="B792" s="3"/>
      <c r="FP792" s="3"/>
    </row>
    <row r="793" spans="2:172" ht="12.75">
      <c r="B793" s="3"/>
      <c r="FP793" s="3"/>
    </row>
    <row r="794" spans="2:172" ht="12.75">
      <c r="B794" s="3"/>
      <c r="FP794" s="3"/>
    </row>
    <row r="795" spans="2:172" ht="12.75">
      <c r="B795" s="3"/>
      <c r="FP795" s="3"/>
    </row>
    <row r="796" spans="2:172" ht="12.75">
      <c r="B796" s="3"/>
      <c r="FP796" s="3"/>
    </row>
    <row r="797" spans="2:172" ht="12.75">
      <c r="B797" s="3"/>
      <c r="FP797" s="3"/>
    </row>
    <row r="798" spans="2:172" ht="12.75">
      <c r="B798" s="3"/>
      <c r="FP798" s="3"/>
    </row>
    <row r="799" spans="2:172" ht="12.75">
      <c r="B799" s="3"/>
      <c r="FP799" s="3"/>
    </row>
    <row r="800" spans="2:172" ht="12.75">
      <c r="B800" s="3"/>
      <c r="FP800" s="3"/>
    </row>
    <row r="801" spans="2:172" ht="12.75">
      <c r="B801" s="3"/>
      <c r="FP801" s="3"/>
    </row>
    <row r="802" spans="2:172" ht="12.75">
      <c r="B802" s="3"/>
      <c r="FP802" s="3"/>
    </row>
    <row r="803" spans="2:172" ht="12.75">
      <c r="B803" s="3"/>
      <c r="FP803" s="3"/>
    </row>
    <row r="804" spans="2:172" ht="12.75">
      <c r="B804" s="3"/>
      <c r="FP804" s="3"/>
    </row>
    <row r="805" spans="2:172" ht="12.75">
      <c r="B805" s="3"/>
      <c r="FP805" s="3"/>
    </row>
    <row r="806" spans="2:172" ht="12.75">
      <c r="B806" s="3"/>
      <c r="FP806" s="3"/>
    </row>
    <row r="807" spans="2:172" ht="12.75">
      <c r="B807" s="3"/>
      <c r="FP807" s="3"/>
    </row>
    <row r="808" spans="2:172" ht="12.75">
      <c r="B808" s="3"/>
      <c r="FP808" s="3"/>
    </row>
    <row r="809" spans="2:172" ht="12.75">
      <c r="B809" s="3"/>
      <c r="FP809" s="3"/>
    </row>
    <row r="810" spans="2:172" ht="12.75">
      <c r="B810" s="3"/>
      <c r="FP810" s="3"/>
    </row>
    <row r="811" spans="2:172" ht="12.75">
      <c r="B811" s="3"/>
      <c r="FP811" s="3"/>
    </row>
    <row r="812" spans="2:172" ht="12.75">
      <c r="B812" s="3"/>
      <c r="FP812" s="3"/>
    </row>
    <row r="813" spans="2:172" ht="12.75">
      <c r="B813" s="3"/>
      <c r="FP813" s="3"/>
    </row>
    <row r="814" spans="2:172" ht="12.75">
      <c r="B814" s="3"/>
      <c r="FP814" s="3"/>
    </row>
    <row r="815" spans="2:172" ht="12.75">
      <c r="B815" s="3"/>
      <c r="FP815" s="3"/>
    </row>
    <row r="816" spans="2:172" ht="12.75">
      <c r="B816" s="3"/>
      <c r="FP816" s="3"/>
    </row>
    <row r="817" spans="2:172" ht="12.75">
      <c r="B817" s="3"/>
      <c r="FP817" s="3"/>
    </row>
    <row r="818" spans="2:172" ht="12.75">
      <c r="B818" s="3"/>
      <c r="FP818" s="3"/>
    </row>
    <row r="819" spans="2:172" ht="12.75">
      <c r="B819" s="3"/>
      <c r="FP819" s="3"/>
    </row>
    <row r="820" spans="2:172" ht="12.75">
      <c r="B820" s="3"/>
      <c r="FP820" s="3"/>
    </row>
    <row r="821" spans="2:172" ht="12.75">
      <c r="B821" s="3"/>
      <c r="FP821" s="3"/>
    </row>
    <row r="822" spans="2:172" ht="12.75">
      <c r="B822" s="3"/>
      <c r="FP822" s="3"/>
    </row>
    <row r="823" spans="2:172" ht="12.75">
      <c r="B823" s="3"/>
      <c r="FP823" s="3"/>
    </row>
    <row r="824" spans="2:172" ht="12.75">
      <c r="B824" s="3"/>
      <c r="FP824" s="3"/>
    </row>
    <row r="825" spans="2:172" ht="12.75">
      <c r="B825" s="3"/>
      <c r="FP825" s="3"/>
    </row>
    <row r="826" spans="2:172" ht="12.75">
      <c r="B826" s="3"/>
      <c r="FP826" s="3"/>
    </row>
    <row r="827" spans="2:172" ht="12.75">
      <c r="B827" s="3"/>
      <c r="FP827" s="3"/>
    </row>
    <row r="828" spans="2:172" ht="12.75">
      <c r="B828" s="3"/>
      <c r="FP828" s="3"/>
    </row>
    <row r="829" spans="2:172" ht="12.75">
      <c r="B829" s="3"/>
      <c r="FP829" s="3"/>
    </row>
    <row r="830" spans="2:172" ht="12.75">
      <c r="B830" s="3"/>
      <c r="FP830" s="3"/>
    </row>
    <row r="831" spans="2:172" ht="12.75">
      <c r="B831" s="3"/>
      <c r="FP831" s="3"/>
    </row>
    <row r="832" spans="2:172" ht="12.75">
      <c r="B832" s="3"/>
      <c r="FP832" s="3"/>
    </row>
    <row r="833" spans="2:172" ht="12.75">
      <c r="B833" s="3"/>
      <c r="FP833" s="3"/>
    </row>
    <row r="834" spans="2:172" ht="12.75">
      <c r="B834" s="3"/>
      <c r="FP834" s="3"/>
    </row>
    <row r="835" spans="2:172" ht="12.75">
      <c r="B835" s="3"/>
      <c r="FP835" s="3"/>
    </row>
    <row r="836" spans="2:172" ht="12.75">
      <c r="B836" s="3"/>
      <c r="FP836" s="3"/>
    </row>
    <row r="837" spans="2:172" ht="12.75">
      <c r="B837" s="3"/>
      <c r="FP837" s="3"/>
    </row>
    <row r="838" spans="2:172" ht="12.75">
      <c r="B838" s="3"/>
      <c r="FP838" s="3"/>
    </row>
    <row r="839" spans="2:172" ht="12.75">
      <c r="B839" s="3"/>
      <c r="FP839" s="3"/>
    </row>
    <row r="840" spans="2:172" ht="12.75">
      <c r="B840" s="3"/>
      <c r="FP840" s="3"/>
    </row>
    <row r="841" spans="2:172" ht="12.75">
      <c r="B841" s="3"/>
      <c r="FP841" s="3"/>
    </row>
    <row r="842" spans="2:172" ht="12.75">
      <c r="B842" s="3"/>
      <c r="FP842" s="3"/>
    </row>
    <row r="843" spans="2:172" ht="12.75">
      <c r="B843" s="3"/>
      <c r="FP843" s="3"/>
    </row>
    <row r="844" spans="2:172" ht="12.75">
      <c r="B844" s="3"/>
      <c r="FP844" s="3"/>
    </row>
    <row r="845" spans="2:172" ht="12.75">
      <c r="B845" s="3"/>
      <c r="FP845" s="3"/>
    </row>
    <row r="846" spans="2:172" ht="12.75">
      <c r="B846" s="3"/>
      <c r="FP846" s="3"/>
    </row>
    <row r="847" spans="2:172" ht="12.75">
      <c r="B847" s="3"/>
      <c r="FP847" s="3"/>
    </row>
    <row r="848" spans="2:172" ht="12.75">
      <c r="B848" s="3"/>
      <c r="FP848" s="3"/>
    </row>
    <row r="849" spans="2:172" ht="12.75">
      <c r="B849" s="3"/>
      <c r="FP849" s="3"/>
    </row>
    <row r="850" spans="2:172" ht="12.75">
      <c r="B850" s="3"/>
      <c r="FP850" s="3"/>
    </row>
    <row r="851" spans="2:172" ht="12.75">
      <c r="B851" s="3"/>
      <c r="FP851" s="3"/>
    </row>
    <row r="852" spans="2:172" ht="12.75">
      <c r="B852" s="3"/>
      <c r="FP852" s="3"/>
    </row>
    <row r="853" spans="2:172" ht="12.75">
      <c r="B853" s="3"/>
      <c r="FP853" s="3"/>
    </row>
    <row r="854" spans="2:172" ht="12.75">
      <c r="B854" s="3"/>
      <c r="FP854" s="3"/>
    </row>
    <row r="855" spans="2:172" ht="12.75">
      <c r="B855" s="3"/>
      <c r="FP855" s="3"/>
    </row>
    <row r="856" spans="2:172" ht="12.75">
      <c r="B856" s="3"/>
      <c r="FP856" s="3"/>
    </row>
    <row r="857" spans="2:172" ht="12.75">
      <c r="B857" s="3"/>
      <c r="FP857" s="3"/>
    </row>
    <row r="858" spans="2:172" ht="12.75">
      <c r="B858" s="3"/>
      <c r="FP858" s="3"/>
    </row>
    <row r="859" spans="2:172" ht="12.75">
      <c r="B859" s="3"/>
      <c r="FP859" s="3"/>
    </row>
    <row r="860" spans="2:172" ht="12.75">
      <c r="B860" s="3"/>
      <c r="FP860" s="3"/>
    </row>
    <row r="861" spans="2:172" ht="12.75">
      <c r="B861" s="3"/>
      <c r="FP861" s="3"/>
    </row>
    <row r="862" spans="2:172" ht="12.75">
      <c r="B862" s="3"/>
      <c r="FP862" s="3"/>
    </row>
    <row r="863" spans="2:172" ht="12.75">
      <c r="B863" s="3"/>
      <c r="FP863" s="3"/>
    </row>
    <row r="864" spans="2:172" ht="12.75">
      <c r="B864" s="3"/>
      <c r="FP864" s="3"/>
    </row>
    <row r="865" spans="2:172" ht="12.75">
      <c r="B865" s="3"/>
      <c r="FP865" s="3"/>
    </row>
    <row r="866" spans="2:172" ht="12.75">
      <c r="B866" s="3"/>
      <c r="FP866" s="3"/>
    </row>
    <row r="867" spans="2:172" ht="12.75">
      <c r="B867" s="3"/>
      <c r="FP867" s="3"/>
    </row>
    <row r="868" spans="2:172" ht="12.75">
      <c r="B868" s="3"/>
      <c r="FP868" s="3"/>
    </row>
    <row r="869" spans="2:172" ht="12.75">
      <c r="B869" s="3"/>
      <c r="FP869" s="3"/>
    </row>
    <row r="870" spans="2:172" ht="12.75">
      <c r="B870" s="3"/>
      <c r="FP870" s="3"/>
    </row>
    <row r="871" spans="2:172" ht="12.75">
      <c r="B871" s="3"/>
      <c r="FP871" s="3"/>
    </row>
    <row r="872" spans="2:172" ht="12.75">
      <c r="B872" s="3"/>
      <c r="FP872" s="3"/>
    </row>
    <row r="873" spans="2:172" ht="12.75">
      <c r="B873" s="3"/>
      <c r="FP873" s="3"/>
    </row>
    <row r="874" spans="2:172" ht="12.75">
      <c r="B874" s="3"/>
      <c r="FP874" s="3"/>
    </row>
    <row r="875" spans="2:172" ht="12.75">
      <c r="B875" s="3"/>
      <c r="FP875" s="3"/>
    </row>
    <row r="876" spans="2:172" ht="12.75">
      <c r="B876" s="3"/>
      <c r="FP876" s="3"/>
    </row>
    <row r="877" spans="2:172" ht="12.75">
      <c r="B877" s="3"/>
      <c r="FP877" s="3"/>
    </row>
    <row r="878" spans="2:172" ht="12.75">
      <c r="B878" s="3"/>
      <c r="FP878" s="3"/>
    </row>
    <row r="879" spans="2:172" ht="12.75">
      <c r="B879" s="3"/>
      <c r="FP879" s="3"/>
    </row>
    <row r="880" spans="2:172" ht="12.75">
      <c r="B880" s="3"/>
      <c r="FP880" s="3"/>
    </row>
    <row r="881" spans="2:172" ht="12.75">
      <c r="B881" s="3"/>
      <c r="FP881" s="3"/>
    </row>
    <row r="882" spans="2:172" ht="12.75">
      <c r="B882" s="3"/>
      <c r="FP882" s="3"/>
    </row>
    <row r="883" spans="2:172" ht="12.75">
      <c r="B883" s="3"/>
      <c r="FP883" s="3"/>
    </row>
    <row r="884" spans="2:172" ht="12.75">
      <c r="B884" s="3"/>
      <c r="FP884" s="3"/>
    </row>
    <row r="885" spans="2:172" ht="12.75">
      <c r="B885" s="3"/>
      <c r="FP885" s="3"/>
    </row>
    <row r="886" spans="2:172" ht="12.75">
      <c r="B886" s="3"/>
      <c r="FP886" s="3"/>
    </row>
    <row r="887" spans="2:172" ht="12.75">
      <c r="B887" s="3"/>
      <c r="FP887" s="3"/>
    </row>
    <row r="888" spans="2:172" ht="12.75">
      <c r="B888" s="3"/>
      <c r="FP888" s="3"/>
    </row>
    <row r="889" spans="2:172" ht="12.75">
      <c r="B889" s="3"/>
      <c r="FP889" s="3"/>
    </row>
    <row r="890" spans="2:172" ht="12.75">
      <c r="B890" s="3"/>
      <c r="FP890" s="3"/>
    </row>
    <row r="891" spans="2:172" ht="12.75">
      <c r="B891" s="3"/>
      <c r="FP891" s="3"/>
    </row>
    <row r="892" spans="2:172" ht="12.75">
      <c r="B892" s="3"/>
      <c r="FP892" s="3"/>
    </row>
    <row r="893" spans="2:172" ht="12.75">
      <c r="B893" s="3"/>
      <c r="FP893" s="3"/>
    </row>
    <row r="894" spans="2:172" ht="12.75">
      <c r="B894" s="3"/>
      <c r="FP894" s="3"/>
    </row>
    <row r="895" spans="2:172" ht="12.75">
      <c r="B895" s="3"/>
      <c r="FP895" s="3"/>
    </row>
    <row r="896" spans="2:172" ht="12.75">
      <c r="B896" s="3"/>
      <c r="FP896" s="3"/>
    </row>
    <row r="897" spans="2:172" ht="12.75">
      <c r="B897" s="3"/>
      <c r="FP897" s="3"/>
    </row>
    <row r="898" spans="2:172" ht="12.75">
      <c r="B898" s="3"/>
      <c r="FP898" s="3"/>
    </row>
    <row r="899" spans="2:172" ht="12.75">
      <c r="B899" s="3"/>
      <c r="FP899" s="3"/>
    </row>
    <row r="900" spans="2:172" ht="12.75">
      <c r="B900" s="3"/>
      <c r="FP900" s="3"/>
    </row>
    <row r="901" spans="2:172" ht="12.75">
      <c r="B901" s="3"/>
      <c r="FP901" s="3"/>
    </row>
    <row r="902" spans="2:172" ht="12.75">
      <c r="B902" s="3"/>
      <c r="FP902" s="3"/>
    </row>
    <row r="903" spans="2:172" ht="12.75">
      <c r="B903" s="3"/>
      <c r="FP903" s="3"/>
    </row>
    <row r="904" spans="2:172" ht="12.75">
      <c r="B904" s="3"/>
      <c r="FP904" s="3"/>
    </row>
    <row r="905" spans="2:172" ht="12.75">
      <c r="B905" s="3"/>
      <c r="FP905" s="3"/>
    </row>
    <row r="906" spans="2:172" ht="12.75">
      <c r="B906" s="3"/>
      <c r="FP906" s="3"/>
    </row>
    <row r="907" spans="2:172" ht="12.75">
      <c r="B907" s="3"/>
      <c r="FP907" s="3"/>
    </row>
    <row r="908" spans="2:172" ht="12.75">
      <c r="B908" s="3"/>
      <c r="FP908" s="3"/>
    </row>
    <row r="909" spans="2:172" ht="12.75">
      <c r="B909" s="3"/>
      <c r="FP909" s="3"/>
    </row>
    <row r="910" spans="2:172" ht="12.75">
      <c r="B910" s="3"/>
      <c r="FP910" s="3"/>
    </row>
    <row r="911" spans="2:172" ht="12.75">
      <c r="B911" s="3"/>
      <c r="FP911" s="3"/>
    </row>
    <row r="912" spans="2:172" ht="12.75">
      <c r="B912" s="3"/>
      <c r="FP912" s="3"/>
    </row>
    <row r="913" spans="2:172" ht="12.75">
      <c r="B913" s="3"/>
      <c r="FP913" s="3"/>
    </row>
    <row r="914" spans="2:172" ht="12.75">
      <c r="B914" s="3"/>
      <c r="FP914" s="3"/>
    </row>
    <row r="915" spans="2:172" ht="12.75">
      <c r="B915" s="3"/>
      <c r="FP915" s="3"/>
    </row>
    <row r="916" spans="2:172" ht="12.75">
      <c r="B916" s="3"/>
      <c r="FP916" s="3"/>
    </row>
    <row r="917" spans="2:172" ht="12.75">
      <c r="B917" s="3"/>
      <c r="FP917" s="3"/>
    </row>
    <row r="918" spans="2:172" ht="12.75">
      <c r="B918" s="3"/>
      <c r="FP918" s="3"/>
    </row>
    <row r="919" spans="2:172" ht="12.75">
      <c r="B919" s="3"/>
      <c r="FP919" s="3"/>
    </row>
    <row r="920" spans="2:172" ht="12.75">
      <c r="B920" s="3"/>
      <c r="FP920" s="3"/>
    </row>
    <row r="921" spans="2:172" ht="12.75">
      <c r="B921" s="3"/>
      <c r="FP921" s="3"/>
    </row>
    <row r="922" spans="2:172" ht="12.75">
      <c r="B922" s="3"/>
      <c r="FP922" s="3"/>
    </row>
    <row r="923" spans="2:172" ht="12.75">
      <c r="B923" s="3"/>
      <c r="FP923" s="3"/>
    </row>
    <row r="924" spans="2:172" ht="12.75">
      <c r="B924" s="3"/>
      <c r="FP924" s="3"/>
    </row>
    <row r="925" spans="2:172" ht="12.75">
      <c r="B925" s="3"/>
      <c r="FP925" s="3"/>
    </row>
    <row r="926" spans="2:172" ht="12.75">
      <c r="B926" s="3"/>
      <c r="FP926" s="3"/>
    </row>
    <row r="927" spans="2:172" ht="12.75">
      <c r="B927" s="3"/>
      <c r="FP927" s="3"/>
    </row>
    <row r="928" spans="2:172" ht="12.75">
      <c r="B928" s="3"/>
      <c r="FP928" s="3"/>
    </row>
    <row r="929" spans="2:172" ht="12.75">
      <c r="B929" s="3"/>
      <c r="FP929" s="3"/>
    </row>
    <row r="930" spans="2:172" ht="12.75">
      <c r="B930" s="3"/>
      <c r="FP930" s="3"/>
    </row>
    <row r="931" spans="2:172" ht="12.75">
      <c r="B931" s="3"/>
      <c r="FP931" s="3"/>
    </row>
    <row r="932" spans="2:172" ht="12.75">
      <c r="B932" s="3"/>
      <c r="FP932" s="3"/>
    </row>
    <row r="933" spans="2:172" ht="12.75">
      <c r="B933" s="3"/>
      <c r="FP933" s="3"/>
    </row>
    <row r="934" spans="2:172" ht="12.75">
      <c r="B934" s="3"/>
      <c r="FP934" s="3"/>
    </row>
    <row r="935" spans="2:172" ht="12.75">
      <c r="B935" s="3"/>
      <c r="FP935" s="3"/>
    </row>
    <row r="936" spans="2:172" ht="12.75">
      <c r="B936" s="3"/>
      <c r="FP936" s="3"/>
    </row>
    <row r="937" spans="2:172" ht="12.75">
      <c r="B937" s="3"/>
      <c r="FP937" s="3"/>
    </row>
    <row r="938" spans="2:172" ht="12.75">
      <c r="B938" s="3"/>
      <c r="FP938" s="3"/>
    </row>
    <row r="939" spans="2:172" ht="12.75">
      <c r="B939" s="3"/>
      <c r="FP939" s="3"/>
    </row>
    <row r="940" spans="2:172" ht="12.75">
      <c r="B940" s="3"/>
      <c r="FP940" s="3"/>
    </row>
    <row r="941" spans="2:172" ht="12.75">
      <c r="B941" s="3"/>
      <c r="FP941" s="3"/>
    </row>
    <row r="942" spans="2:172" ht="12.75">
      <c r="B942" s="3"/>
      <c r="FP942" s="3"/>
    </row>
    <row r="943" spans="2:172" ht="12.75">
      <c r="B943" s="3"/>
      <c r="FP943" s="3"/>
    </row>
    <row r="944" spans="2:172" ht="12.75">
      <c r="B944" s="3"/>
      <c r="FP944" s="3"/>
    </row>
    <row r="945" spans="2:172" ht="12.75">
      <c r="B945" s="3"/>
      <c r="FP945" s="3"/>
    </row>
    <row r="946" spans="2:172" ht="12.75">
      <c r="B946" s="3"/>
      <c r="FP946" s="3"/>
    </row>
    <row r="947" spans="2:172" ht="12.75">
      <c r="B947" s="3"/>
      <c r="FP947" s="3"/>
    </row>
    <row r="948" spans="2:172" ht="12.75">
      <c r="B948" s="3"/>
      <c r="FP948" s="3"/>
    </row>
    <row r="949" spans="2:172" ht="12.75">
      <c r="B949" s="3"/>
      <c r="FP949" s="3"/>
    </row>
    <row r="950" spans="2:172" ht="12.75">
      <c r="B950" s="3"/>
      <c r="FP950" s="3"/>
    </row>
    <row r="951" spans="2:172" ht="12.75">
      <c r="B951" s="3"/>
      <c r="FP951" s="3"/>
    </row>
    <row r="952" spans="2:172" ht="12.75">
      <c r="B952" s="3"/>
      <c r="FP952" s="3"/>
    </row>
    <row r="953" spans="2:172" ht="12.75">
      <c r="B953" s="3"/>
      <c r="FP953" s="3"/>
    </row>
    <row r="954" spans="2:172" ht="12.75">
      <c r="B954" s="3"/>
      <c r="FP954" s="3"/>
    </row>
    <row r="955" spans="2:172" ht="12.75">
      <c r="B955" s="3"/>
      <c r="FP955" s="3"/>
    </row>
    <row r="956" spans="2:172" ht="12.75">
      <c r="B956" s="3"/>
      <c r="FP956" s="3"/>
    </row>
    <row r="957" spans="2:172" ht="12.75">
      <c r="B957" s="3"/>
      <c r="FP957" s="3"/>
    </row>
    <row r="958" spans="2:172" ht="12.75">
      <c r="B958" s="3"/>
      <c r="FP958" s="3"/>
    </row>
    <row r="959" spans="2:172" ht="12.75">
      <c r="B959" s="3"/>
      <c r="FP959" s="3"/>
    </row>
    <row r="960" spans="2:172" ht="12.75">
      <c r="B960" s="3"/>
      <c r="FP960" s="3"/>
    </row>
    <row r="961" spans="2:172" ht="12.75">
      <c r="B961" s="3"/>
      <c r="FP961" s="3"/>
    </row>
    <row r="962" spans="2:172" ht="12.75">
      <c r="B962" s="3"/>
      <c r="FP962" s="3"/>
    </row>
    <row r="963" spans="2:172" ht="12.75">
      <c r="B963" s="3"/>
      <c r="FP963" s="3"/>
    </row>
    <row r="964" spans="2:172" ht="12.75">
      <c r="B964" s="3"/>
      <c r="FP964" s="3"/>
    </row>
    <row r="965" spans="2:172" ht="12.75">
      <c r="B965" s="3"/>
      <c r="FP965" s="3"/>
    </row>
    <row r="966" spans="2:172" ht="12.75">
      <c r="B966" s="3"/>
      <c r="FP966" s="3"/>
    </row>
    <row r="967" spans="2:172" ht="12.75">
      <c r="B967" s="3"/>
      <c r="FP967" s="3"/>
    </row>
    <row r="968" spans="2:172" ht="12.75">
      <c r="B968" s="3"/>
      <c r="FP968" s="3"/>
    </row>
    <row r="969" spans="2:172" ht="12.75">
      <c r="B969" s="3"/>
      <c r="FP969" s="3"/>
    </row>
    <row r="970" spans="2:172" ht="12.75">
      <c r="B970" s="3"/>
      <c r="FP970" s="3"/>
    </row>
    <row r="971" spans="2:172" ht="12.75">
      <c r="B971" s="3"/>
      <c r="FP971" s="3"/>
    </row>
    <row r="972" spans="2:172" ht="12.75">
      <c r="B972" s="3"/>
      <c r="FP972" s="3"/>
    </row>
    <row r="973" spans="2:172" ht="12.75">
      <c r="B973" s="3"/>
      <c r="FP973" s="3"/>
    </row>
    <row r="974" spans="2:172" ht="12.75">
      <c r="B974" s="3"/>
      <c r="FP974" s="3"/>
    </row>
    <row r="975" spans="2:172" ht="12.75">
      <c r="B975" s="3"/>
      <c r="FP975" s="3"/>
    </row>
    <row r="976" spans="2:172" ht="12.75">
      <c r="B976" s="3"/>
      <c r="FP976" s="3"/>
    </row>
    <row r="977" spans="2:172" ht="12.75">
      <c r="B977" s="3"/>
      <c r="FP977" s="3"/>
    </row>
    <row r="978" spans="2:172" ht="12.75">
      <c r="B978" s="3"/>
      <c r="FP978" s="3"/>
    </row>
    <row r="979" spans="2:172" ht="12.75">
      <c r="B979" s="3"/>
      <c r="FP979" s="3"/>
    </row>
    <row r="980" spans="2:172" ht="12.75">
      <c r="B980" s="3"/>
      <c r="FP980" s="3"/>
    </row>
    <row r="981" spans="2:172" ht="12.75">
      <c r="B981" s="3"/>
      <c r="FP981" s="3"/>
    </row>
    <row r="982" spans="2:172" ht="12.75">
      <c r="B982" s="3"/>
      <c r="FP982" s="3"/>
    </row>
    <row r="983" spans="2:172" ht="12.75">
      <c r="B983" s="3"/>
      <c r="FP983" s="3"/>
    </row>
    <row r="984" spans="2:172" ht="12.75">
      <c r="B984" s="3"/>
      <c r="FP984" s="3"/>
    </row>
    <row r="985" spans="2:172" ht="12.75">
      <c r="B985" s="3"/>
      <c r="FP985" s="3"/>
    </row>
    <row r="986" spans="2:172" ht="12.75">
      <c r="B986" s="3"/>
      <c r="FP986" s="3"/>
    </row>
    <row r="987" spans="2:172" ht="12.75">
      <c r="B987" s="3"/>
      <c r="FP987" s="3"/>
    </row>
    <row r="988" spans="2:172" ht="12.75">
      <c r="B988" s="3"/>
      <c r="FP988" s="3"/>
    </row>
    <row r="989" spans="2:172" ht="12.75">
      <c r="B989" s="3"/>
      <c r="FP989" s="3"/>
    </row>
    <row r="990" spans="2:172" ht="12.75">
      <c r="B990" s="3"/>
      <c r="FP990" s="3"/>
    </row>
    <row r="991" spans="2:172" ht="12.75">
      <c r="B991" s="3"/>
      <c r="FP991" s="3"/>
    </row>
    <row r="992" spans="2:172" ht="12.75">
      <c r="B992" s="3"/>
      <c r="FP992" s="3"/>
    </row>
    <row r="993" spans="2:172" ht="12.75">
      <c r="B993" s="3"/>
      <c r="FP993" s="3"/>
    </row>
    <row r="994" spans="2:172" ht="12.75">
      <c r="B994" s="3"/>
      <c r="FP994" s="3"/>
    </row>
    <row r="995" spans="2:172" ht="12.75">
      <c r="B995" s="3"/>
      <c r="FP995" s="3"/>
    </row>
    <row r="996" spans="2:172" ht="12.75">
      <c r="B996" s="3"/>
      <c r="FP996" s="3"/>
    </row>
    <row r="997" spans="2:172" ht="12.75">
      <c r="B997" s="3"/>
      <c r="FP997" s="3"/>
    </row>
    <row r="998" spans="2:172" ht="12.75">
      <c r="B998" s="3"/>
      <c r="FP998" s="3"/>
    </row>
    <row r="999" spans="2:172" ht="12.75">
      <c r="B999" s="3"/>
      <c r="FP999" s="3"/>
    </row>
    <row r="1000" spans="2:172" ht="12.75">
      <c r="B1000" s="3"/>
      <c r="FP1000" s="3"/>
    </row>
    <row r="1001" spans="2:172" ht="12.75">
      <c r="B1001" s="3"/>
      <c r="FP1001" s="3"/>
    </row>
    <row r="1002" spans="2:172" ht="12.75">
      <c r="B1002" s="3"/>
      <c r="FP1002" s="3"/>
    </row>
    <row r="1003" spans="2:172" ht="12.75">
      <c r="B1003" s="3"/>
      <c r="FP1003" s="3"/>
    </row>
    <row r="1004" spans="2:172" ht="12.75">
      <c r="B1004" s="3"/>
      <c r="FP1004" s="3"/>
    </row>
    <row r="1005" spans="2:172" ht="12.75">
      <c r="B1005" s="3"/>
      <c r="FP1005" s="3"/>
    </row>
    <row r="1006" spans="2:172" ht="12.75">
      <c r="B1006" s="3"/>
      <c r="FP1006" s="3"/>
    </row>
    <row r="1007" spans="2:172" ht="12.75">
      <c r="B1007" s="3"/>
      <c r="FP1007" s="3"/>
    </row>
    <row r="1008" spans="2:172" ht="12.75">
      <c r="B1008" s="3"/>
      <c r="FP1008" s="3"/>
    </row>
    <row r="1009" spans="2:172" ht="12.75">
      <c r="B1009" s="3"/>
      <c r="FP1009" s="3"/>
    </row>
    <row r="1010" spans="2:172" ht="12.75">
      <c r="B1010" s="3"/>
      <c r="FP1010" s="3"/>
    </row>
    <row r="1011" spans="2:172" ht="12.75">
      <c r="B1011" s="3"/>
      <c r="FP1011" s="3"/>
    </row>
    <row r="1012" spans="2:172" ht="12.75">
      <c r="B1012" s="3"/>
      <c r="FP1012" s="3"/>
    </row>
    <row r="1013" spans="2:172" ht="12.75">
      <c r="B1013" s="3"/>
      <c r="FP1013" s="3"/>
    </row>
    <row r="1014" spans="2:172" ht="12.75">
      <c r="B1014" s="3"/>
      <c r="FP1014" s="3"/>
    </row>
    <row r="1015" spans="2:172" ht="12.75">
      <c r="B1015" s="3"/>
      <c r="FP1015" s="3"/>
    </row>
    <row r="1016" spans="2:172" ht="12.75">
      <c r="B1016" s="3"/>
      <c r="FP1016" s="3"/>
    </row>
    <row r="1017" spans="2:172" ht="12.75">
      <c r="B1017" s="3"/>
      <c r="FP1017" s="3"/>
    </row>
    <row r="1018" spans="2:172" ht="12.75">
      <c r="B1018" s="3"/>
      <c r="FP1018" s="3"/>
    </row>
    <row r="1019" spans="2:172" ht="12.75">
      <c r="B1019" s="3"/>
      <c r="FP1019" s="3"/>
    </row>
    <row r="1020" spans="2:172" ht="12.75">
      <c r="B1020" s="3"/>
      <c r="FP1020" s="3"/>
    </row>
    <row r="1021" spans="2:172" ht="12.75">
      <c r="B1021" s="3"/>
      <c r="FP1021" s="3"/>
    </row>
    <row r="1022" spans="2:172" ht="12.75">
      <c r="B1022" s="3"/>
      <c r="FP1022" s="3"/>
    </row>
    <row r="1023" spans="2:172" ht="12.75">
      <c r="B1023" s="3"/>
      <c r="FP1023" s="3"/>
    </row>
    <row r="1024" spans="2:172" ht="12.75">
      <c r="B1024" s="3"/>
      <c r="FP1024" s="3"/>
    </row>
    <row r="1025" spans="2:172" ht="12.75">
      <c r="B1025" s="3"/>
      <c r="FP1025" s="3"/>
    </row>
    <row r="1026" spans="2:172" ht="12.75">
      <c r="B1026" s="3"/>
      <c r="FP1026" s="3"/>
    </row>
    <row r="1027" spans="2:172" ht="12.75">
      <c r="B1027" s="3"/>
      <c r="FP1027" s="3"/>
    </row>
    <row r="1028" spans="2:172" ht="12.75">
      <c r="B1028" s="3"/>
      <c r="FP1028" s="3"/>
    </row>
    <row r="1029" spans="2:172" ht="12.75">
      <c r="B1029" s="3"/>
      <c r="FP1029" s="3"/>
    </row>
    <row r="1030" spans="2:172" ht="12.75">
      <c r="B1030" s="3"/>
      <c r="FP1030" s="3"/>
    </row>
    <row r="1031" spans="2:172" ht="12.75">
      <c r="B1031" s="3"/>
      <c r="FP1031" s="3"/>
    </row>
    <row r="1032" spans="2:172" ht="12.75">
      <c r="B1032" s="3"/>
      <c r="FP1032" s="3"/>
    </row>
    <row r="1033" spans="2:172" ht="12.75">
      <c r="B1033" s="3"/>
      <c r="FP1033" s="3"/>
    </row>
    <row r="1034" spans="2:172" ht="12.75">
      <c r="B1034" s="3"/>
      <c r="FP1034" s="3"/>
    </row>
    <row r="1035" spans="2:172" ht="12.75">
      <c r="B1035" s="3"/>
      <c r="FP1035" s="3"/>
    </row>
    <row r="1036" spans="2:172" ht="12.75">
      <c r="B1036" s="3"/>
      <c r="FP1036" s="3"/>
    </row>
    <row r="1037" spans="2:172" ht="12.75">
      <c r="B1037" s="3"/>
      <c r="FP1037" s="3"/>
    </row>
    <row r="1038" spans="2:172" ht="12.75">
      <c r="B1038" s="3"/>
      <c r="FP1038" s="3"/>
    </row>
    <row r="1039" spans="2:172" ht="12.75">
      <c r="B1039" s="3"/>
      <c r="FP1039" s="3"/>
    </row>
    <row r="1040" spans="2:172" ht="12.75">
      <c r="B1040" s="3"/>
      <c r="FP1040" s="3"/>
    </row>
    <row r="1041" spans="2:172" ht="12.75">
      <c r="B1041" s="3"/>
      <c r="FP1041" s="3"/>
    </row>
    <row r="1042" spans="2:172" ht="12.75">
      <c r="B1042" s="3"/>
      <c r="FP1042" s="3"/>
    </row>
    <row r="1043" spans="2:172" ht="12.75">
      <c r="B1043" s="3"/>
      <c r="FP1043" s="3"/>
    </row>
    <row r="1044" spans="2:172" ht="12.75">
      <c r="B1044" s="3"/>
      <c r="FP1044" s="3"/>
    </row>
    <row r="1045" spans="2:172" ht="12.75">
      <c r="B1045" s="3"/>
      <c r="FP1045" s="3"/>
    </row>
    <row r="1046" spans="2:172" ht="12.75">
      <c r="B1046" s="3"/>
      <c r="FP1046" s="3"/>
    </row>
    <row r="1047" spans="2:172" ht="12.75">
      <c r="B1047" s="3"/>
      <c r="FP1047" s="3"/>
    </row>
    <row r="1048" spans="2:172" ht="12.75">
      <c r="B1048" s="3"/>
      <c r="FP1048" s="3"/>
    </row>
    <row r="1049" spans="2:172" ht="12.75">
      <c r="B1049" s="3"/>
      <c r="FP1049" s="3"/>
    </row>
    <row r="1050" spans="2:172" ht="12.75">
      <c r="B1050" s="3"/>
      <c r="FP1050" s="3"/>
    </row>
    <row r="1051" spans="2:172" ht="12.75">
      <c r="B1051" s="3"/>
      <c r="FP1051" s="3"/>
    </row>
    <row r="1052" spans="2:172" ht="12.75">
      <c r="B1052" s="3"/>
      <c r="FP1052" s="3"/>
    </row>
    <row r="1053" spans="2:172" ht="12.75">
      <c r="B1053" s="3"/>
      <c r="FP1053" s="3"/>
    </row>
    <row r="1054" spans="2:172" ht="12.75">
      <c r="B1054" s="3"/>
      <c r="FP1054" s="3"/>
    </row>
    <row r="1055" spans="2:172" ht="12.75">
      <c r="B1055" s="3"/>
      <c r="FP1055" s="3"/>
    </row>
    <row r="1056" spans="2:172" ht="12.75">
      <c r="B1056" s="3"/>
      <c r="FP1056" s="3"/>
    </row>
    <row r="1057" spans="2:172" ht="12.75">
      <c r="B1057" s="3"/>
      <c r="FP1057" s="3"/>
    </row>
    <row r="1058" spans="2:172" ht="12.75">
      <c r="B1058" s="3"/>
      <c r="FP1058" s="3"/>
    </row>
    <row r="1059" spans="2:172" ht="12.75">
      <c r="B1059" s="3"/>
      <c r="FP1059" s="3"/>
    </row>
    <row r="1060" spans="2:172" ht="12.75">
      <c r="B1060" s="3"/>
      <c r="FP1060" s="3"/>
    </row>
    <row r="1061" spans="2:172" ht="12.75">
      <c r="B1061" s="3"/>
      <c r="FP1061" s="3"/>
    </row>
    <row r="1062" spans="2:172" ht="12.75">
      <c r="B1062" s="3"/>
      <c r="FP1062" s="3"/>
    </row>
    <row r="1063" spans="2:172" ht="12.75">
      <c r="B1063" s="3"/>
      <c r="FP1063" s="3"/>
    </row>
    <row r="1064" spans="2:172" ht="12.75">
      <c r="B1064" s="3"/>
      <c r="FP1064" s="3"/>
    </row>
    <row r="1065" spans="2:172" ht="12.75">
      <c r="B1065" s="3"/>
      <c r="FP1065" s="3"/>
    </row>
    <row r="1066" spans="2:172" ht="12.75">
      <c r="B1066" s="3"/>
      <c r="FP1066" s="3"/>
    </row>
    <row r="1067" spans="2:172" ht="12.75">
      <c r="B1067" s="3"/>
      <c r="FP1067" s="3"/>
    </row>
    <row r="1068" spans="2:172" ht="12.75">
      <c r="B1068" s="3"/>
      <c r="FP1068" s="3"/>
    </row>
    <row r="1069" spans="2:172" ht="12.75">
      <c r="B1069" s="3"/>
      <c r="FP1069" s="3"/>
    </row>
    <row r="1070" spans="2:172" ht="12.75">
      <c r="B1070" s="3"/>
      <c r="FP1070" s="3"/>
    </row>
    <row r="1071" spans="2:172" ht="12.75">
      <c r="B1071" s="3"/>
      <c r="FP1071" s="3"/>
    </row>
    <row r="1072" spans="2:172" ht="12.75">
      <c r="B1072" s="3"/>
      <c r="FP1072" s="3"/>
    </row>
    <row r="1073" spans="2:172" ht="12.75">
      <c r="B1073" s="3"/>
      <c r="FP1073" s="3"/>
    </row>
    <row r="1074" spans="2:172" ht="12.75">
      <c r="B1074" s="3"/>
      <c r="FP1074" s="3"/>
    </row>
    <row r="1075" spans="2:172" ht="12.75">
      <c r="B1075" s="3"/>
      <c r="FP1075" s="3"/>
    </row>
    <row r="1076" spans="2:172" ht="12.75">
      <c r="B1076" s="3"/>
      <c r="FP1076" s="3"/>
    </row>
    <row r="1077" spans="2:172" ht="12.75">
      <c r="B1077" s="3"/>
      <c r="FP1077" s="3"/>
    </row>
    <row r="1078" spans="2:172" ht="12.75">
      <c r="B1078" s="3"/>
      <c r="FP1078" s="3"/>
    </row>
    <row r="1079" spans="2:172" ht="12.75">
      <c r="B1079" s="3"/>
      <c r="FP1079" s="3"/>
    </row>
    <row r="1080" spans="2:172" ht="12.75">
      <c r="B1080" s="3"/>
      <c r="FP1080" s="3"/>
    </row>
    <row r="1081" spans="2:172" ht="12.75">
      <c r="B1081" s="3"/>
      <c r="FP1081" s="3"/>
    </row>
    <row r="1082" spans="2:172" ht="12.75">
      <c r="B1082" s="3"/>
      <c r="FP1082" s="3"/>
    </row>
    <row r="1083" spans="2:172" ht="12.75">
      <c r="B1083" s="3"/>
      <c r="FP1083" s="3"/>
    </row>
    <row r="1084" spans="2:172" ht="12.75">
      <c r="B1084" s="3"/>
      <c r="FP1084" s="3"/>
    </row>
    <row r="1085" spans="2:172" ht="12.75">
      <c r="B1085" s="3"/>
      <c r="FP1085" s="3"/>
    </row>
    <row r="1086" spans="2:172" ht="12.75">
      <c r="B1086" s="3"/>
      <c r="FP1086" s="3"/>
    </row>
    <row r="1087" spans="2:172" ht="12.75">
      <c r="B1087" s="3"/>
      <c r="FP1087" s="3"/>
    </row>
    <row r="1088" spans="2:172" ht="12.75">
      <c r="B1088" s="3"/>
      <c r="FP1088" s="3"/>
    </row>
    <row r="1089" spans="2:172" ht="12.75">
      <c r="B1089" s="3"/>
      <c r="FP1089" s="3"/>
    </row>
    <row r="1090" spans="2:172" ht="12.75">
      <c r="B1090" s="3"/>
      <c r="FP1090" s="3"/>
    </row>
    <row r="1091" spans="2:172" ht="12.75">
      <c r="B1091" s="3"/>
      <c r="FP1091" s="3"/>
    </row>
    <row r="1092" spans="2:172" ht="12.75">
      <c r="B1092" s="3"/>
      <c r="FP1092" s="3"/>
    </row>
    <row r="1093" spans="2:172" ht="12.75">
      <c r="B1093" s="3"/>
      <c r="FP1093" s="3"/>
    </row>
    <row r="1094" spans="2:172" ht="12.75">
      <c r="B1094" s="3"/>
      <c r="FP1094" s="3"/>
    </row>
    <row r="1095" spans="2:172" ht="12.75">
      <c r="B1095" s="3"/>
      <c r="FP1095" s="3"/>
    </row>
    <row r="1096" spans="2:172" ht="12.75">
      <c r="B1096" s="3"/>
      <c r="FP1096" s="3"/>
    </row>
    <row r="1097" spans="2:172" ht="12.75">
      <c r="B1097" s="3"/>
      <c r="FP1097" s="3"/>
    </row>
    <row r="1098" spans="2:172" ht="12.75">
      <c r="B1098" s="3"/>
      <c r="FP1098" s="3"/>
    </row>
    <row r="1099" spans="2:172" ht="12.75">
      <c r="B1099" s="3"/>
      <c r="FP1099" s="3"/>
    </row>
    <row r="1100" spans="2:172" ht="12.75">
      <c r="B1100" s="3"/>
      <c r="FP1100" s="3"/>
    </row>
    <row r="1101" spans="2:172" ht="12.75">
      <c r="B1101" s="3"/>
      <c r="FP1101" s="3"/>
    </row>
    <row r="1102" spans="2:172" ht="12.75">
      <c r="B1102" s="3"/>
      <c r="FP1102" s="3"/>
    </row>
    <row r="1103" spans="2:172" ht="12.75">
      <c r="B1103" s="3"/>
      <c r="FP1103" s="3"/>
    </row>
    <row r="1104" spans="2:172" ht="12.75">
      <c r="B1104" s="3"/>
      <c r="FP1104" s="3"/>
    </row>
    <row r="1105" spans="2:172" ht="12.75">
      <c r="B1105" s="3"/>
      <c r="FP1105" s="3"/>
    </row>
    <row r="1106" spans="2:172" ht="12.75">
      <c r="B1106" s="3"/>
      <c r="FP1106" s="3"/>
    </row>
    <row r="1107" spans="2:172" ht="12.75">
      <c r="B1107" s="3"/>
      <c r="FP1107" s="3"/>
    </row>
    <row r="1108" spans="2:172" ht="12.75">
      <c r="B1108" s="3"/>
      <c r="FP1108" s="3"/>
    </row>
    <row r="1109" spans="2:172" ht="12.75">
      <c r="B1109" s="3"/>
      <c r="FP1109" s="3"/>
    </row>
    <row r="1110" spans="2:172" ht="12.75">
      <c r="B1110" s="3"/>
      <c r="FP1110" s="3"/>
    </row>
    <row r="1111" spans="2:172" ht="12.75">
      <c r="B1111" s="3"/>
      <c r="FP1111" s="3"/>
    </row>
    <row r="1112" spans="2:172" ht="12.75">
      <c r="B1112" s="3"/>
      <c r="FP1112" s="3"/>
    </row>
    <row r="1113" spans="2:172" ht="12.75">
      <c r="B1113" s="3"/>
      <c r="FP1113" s="3"/>
    </row>
    <row r="1114" spans="2:172" ht="12.75">
      <c r="B1114" s="3"/>
      <c r="FP1114" s="3"/>
    </row>
    <row r="1115" spans="2:172" ht="12.75">
      <c r="B1115" s="3"/>
      <c r="FP1115" s="3"/>
    </row>
    <row r="1116" spans="2:172" ht="12.75">
      <c r="B1116" s="3"/>
      <c r="FP1116" s="3"/>
    </row>
    <row r="1117" spans="2:172" ht="12.75">
      <c r="B1117" s="3"/>
      <c r="FP1117" s="3"/>
    </row>
    <row r="1118" spans="2:172" ht="12.75">
      <c r="B1118" s="3"/>
      <c r="FP1118" s="3"/>
    </row>
    <row r="1119" spans="2:172" ht="12.75">
      <c r="B1119" s="3"/>
      <c r="FP1119" s="3"/>
    </row>
    <row r="1120" spans="2:172" ht="12.75">
      <c r="B1120" s="3"/>
      <c r="FP1120" s="3"/>
    </row>
    <row r="1121" spans="2:172" ht="12.75">
      <c r="B1121" s="3"/>
      <c r="FP1121" s="3"/>
    </row>
    <row r="1122" spans="2:172" ht="12.75">
      <c r="B1122" s="3"/>
      <c r="FP1122" s="3"/>
    </row>
    <row r="1123" spans="2:172" ht="12.75">
      <c r="B1123" s="3"/>
      <c r="FP1123" s="3"/>
    </row>
    <row r="1124" spans="2:172" ht="12.75">
      <c r="B1124" s="3"/>
      <c r="FP1124" s="3"/>
    </row>
    <row r="1125" spans="2:172" ht="12.75">
      <c r="B1125" s="3"/>
      <c r="FP1125" s="3"/>
    </row>
    <row r="1126" spans="2:172" ht="12.75">
      <c r="B1126" s="3"/>
      <c r="FP1126" s="3"/>
    </row>
    <row r="1127" spans="2:172" ht="12.75">
      <c r="B1127" s="3"/>
      <c r="FP1127" s="3"/>
    </row>
    <row r="1128" spans="2:172" ht="12.75">
      <c r="B1128" s="3"/>
      <c r="FP1128" s="3"/>
    </row>
    <row r="1129" spans="2:172" ht="12.75">
      <c r="B1129" s="3"/>
      <c r="FP1129" s="3"/>
    </row>
    <row r="1130" spans="2:172" ht="12.75">
      <c r="B1130" s="3"/>
      <c r="FP1130" s="3"/>
    </row>
    <row r="1131" spans="2:172" ht="12.75">
      <c r="B1131" s="3"/>
      <c r="FP1131" s="3"/>
    </row>
    <row r="1132" spans="2:172" ht="12.75">
      <c r="B1132" s="3"/>
      <c r="FP1132" s="3"/>
    </row>
    <row r="1133" spans="2:172" ht="12.75">
      <c r="B1133" s="3"/>
      <c r="FP1133" s="3"/>
    </row>
    <row r="1134" spans="2:172" ht="12.75">
      <c r="B1134" s="3"/>
      <c r="FP1134" s="3"/>
    </row>
    <row r="1135" spans="2:172" ht="12.75">
      <c r="B1135" s="3"/>
      <c r="FP1135" s="3"/>
    </row>
    <row r="1136" spans="2:172" ht="12.75">
      <c r="B1136" s="3"/>
      <c r="FP1136" s="3"/>
    </row>
    <row r="1137" spans="2:172" ht="12.75">
      <c r="B1137" s="3"/>
      <c r="FP1137" s="3"/>
    </row>
    <row r="1138" spans="2:172" ht="12.75">
      <c r="B1138" s="3"/>
      <c r="FP1138" s="3"/>
    </row>
    <row r="1139" spans="2:172" ht="12.75">
      <c r="B1139" s="3"/>
      <c r="FP1139" s="3"/>
    </row>
    <row r="1140" spans="2:172" ht="12.75">
      <c r="B1140" s="3"/>
      <c r="FP1140" s="3"/>
    </row>
    <row r="1141" spans="2:172" ht="12.75">
      <c r="B1141" s="3"/>
      <c r="FP1141" s="3"/>
    </row>
    <row r="1142" spans="2:172" ht="12.75">
      <c r="B1142" s="3"/>
      <c r="FP1142" s="3"/>
    </row>
    <row r="1143" spans="2:172" ht="12.75">
      <c r="B1143" s="3"/>
      <c r="FP1143" s="3"/>
    </row>
    <row r="1144" spans="2:172" ht="12.75">
      <c r="B1144" s="3"/>
      <c r="FP1144" s="3"/>
    </row>
    <row r="1145" spans="2:172" ht="12.75">
      <c r="B1145" s="3"/>
      <c r="FP1145" s="3"/>
    </row>
    <row r="1146" spans="2:172" ht="12.75">
      <c r="B1146" s="3"/>
      <c r="FP1146" s="3"/>
    </row>
    <row r="1147" spans="2:172" ht="12.75">
      <c r="B1147" s="3"/>
      <c r="FP1147" s="3"/>
    </row>
    <row r="1148" spans="2:172" ht="12.75">
      <c r="B1148" s="3"/>
      <c r="FP1148" s="3"/>
    </row>
    <row r="1149" spans="2:172" ht="12.75">
      <c r="B1149" s="3"/>
      <c r="FP1149" s="3"/>
    </row>
    <row r="1150" spans="2:172" ht="12.75">
      <c r="B1150" s="3"/>
      <c r="FP1150" s="3"/>
    </row>
    <row r="1151" spans="2:172" ht="12.75">
      <c r="B1151" s="3"/>
      <c r="FP1151" s="3"/>
    </row>
    <row r="1152" spans="2:172" ht="12.75">
      <c r="B1152" s="3"/>
      <c r="FP1152" s="3"/>
    </row>
    <row r="1153" spans="2:172" ht="12.75">
      <c r="B1153" s="3"/>
      <c r="FP1153" s="3"/>
    </row>
    <row r="1154" spans="2:172" ht="12.75">
      <c r="B1154" s="3"/>
      <c r="FP1154" s="3"/>
    </row>
    <row r="1155" spans="2:172" ht="12.75">
      <c r="B1155" s="3"/>
      <c r="FP1155" s="3"/>
    </row>
    <row r="1156" spans="2:172" ht="12.75">
      <c r="B1156" s="3"/>
      <c r="FP1156" s="3"/>
    </row>
    <row r="1157" spans="2:172" ht="12.75">
      <c r="B1157" s="3"/>
      <c r="FP1157" s="3"/>
    </row>
    <row r="1158" spans="2:172" ht="12.75">
      <c r="B1158" s="3"/>
      <c r="FP1158" s="3"/>
    </row>
    <row r="1159" spans="2:172" ht="12.75">
      <c r="B1159" s="3"/>
      <c r="FP1159" s="3"/>
    </row>
    <row r="1160" spans="2:172" ht="12.75">
      <c r="B1160" s="3"/>
      <c r="FP1160" s="3"/>
    </row>
    <row r="1161" spans="2:172" ht="12.75">
      <c r="B1161" s="3"/>
      <c r="FP1161" s="3"/>
    </row>
    <row r="1162" spans="2:172" ht="12.75">
      <c r="B1162" s="3"/>
      <c r="FP1162" s="3"/>
    </row>
    <row r="1163" spans="2:172" ht="12.75">
      <c r="B1163" s="3"/>
      <c r="FP1163" s="3"/>
    </row>
    <row r="1164" spans="2:172" ht="12.75">
      <c r="B1164" s="3"/>
      <c r="FP1164" s="3"/>
    </row>
    <row r="1165" spans="2:172" ht="12.75">
      <c r="B1165" s="3"/>
      <c r="FP1165" s="3"/>
    </row>
    <row r="1166" spans="2:172" ht="12.75">
      <c r="B1166" s="3"/>
      <c r="FP1166" s="3"/>
    </row>
    <row r="1167" spans="2:172" ht="12.75">
      <c r="B1167" s="3"/>
      <c r="FP1167" s="3"/>
    </row>
    <row r="1168" spans="2:172" ht="12.75">
      <c r="B1168" s="3"/>
      <c r="FP1168" s="3"/>
    </row>
    <row r="1169" spans="2:172" ht="12.75">
      <c r="B1169" s="3"/>
      <c r="FP1169" s="3"/>
    </row>
    <row r="1170" spans="2:172" ht="12.75">
      <c r="B1170" s="3"/>
      <c r="FP1170" s="3"/>
    </row>
    <row r="1171" spans="2:172" ht="12.75">
      <c r="B1171" s="3"/>
      <c r="FP1171" s="3"/>
    </row>
    <row r="1172" spans="2:172" ht="12.75">
      <c r="B1172" s="3"/>
      <c r="FP1172" s="3"/>
    </row>
    <row r="1173" spans="2:172" ht="12.75">
      <c r="B1173" s="3"/>
      <c r="FP1173" s="3"/>
    </row>
    <row r="1174" spans="2:172" ht="12.75">
      <c r="B1174" s="3"/>
      <c r="FP1174" s="3"/>
    </row>
    <row r="1175" spans="2:172" ht="12.75">
      <c r="B1175" s="3"/>
      <c r="FP1175" s="3"/>
    </row>
    <row r="1176" spans="2:172" ht="12.75">
      <c r="B1176" s="3"/>
      <c r="FP1176" s="3"/>
    </row>
    <row r="1177" spans="2:172" ht="12.75">
      <c r="B1177" s="3"/>
      <c r="FP1177" s="3"/>
    </row>
    <row r="1178" spans="2:172" ht="12.75">
      <c r="B1178" s="3"/>
      <c r="FP1178" s="3"/>
    </row>
    <row r="1179" spans="2:172" ht="12.75">
      <c r="B1179" s="3"/>
      <c r="FP1179" s="3"/>
    </row>
    <row r="1180" spans="2:172" ht="12.75">
      <c r="B1180" s="3"/>
      <c r="FP1180" s="3"/>
    </row>
    <row r="1181" spans="2:172" ht="12.75">
      <c r="B1181" s="3"/>
      <c r="FP1181" s="3"/>
    </row>
    <row r="1182" spans="2:172" ht="12.75">
      <c r="B1182" s="3"/>
      <c r="FP1182" s="3"/>
    </row>
    <row r="1183" spans="2:172" ht="12.75">
      <c r="B1183" s="3"/>
      <c r="FP1183" s="3"/>
    </row>
    <row r="1184" spans="2:172" ht="12.75">
      <c r="B1184" s="3"/>
      <c r="FP1184" s="3"/>
    </row>
    <row r="1185" spans="2:172" ht="12.75">
      <c r="B1185" s="3"/>
      <c r="FP1185" s="3"/>
    </row>
    <row r="1186" spans="2:172" ht="12.75">
      <c r="B1186" s="3"/>
      <c r="FP1186" s="3"/>
    </row>
    <row r="1187" spans="2:172" ht="12.75">
      <c r="B1187" s="3"/>
      <c r="FP1187" s="3"/>
    </row>
    <row r="1188" spans="2:172" ht="12.75">
      <c r="B1188" s="3"/>
      <c r="FP1188" s="3"/>
    </row>
    <row r="1189" spans="2:172" ht="12.75">
      <c r="B1189" s="3"/>
      <c r="FP1189" s="3"/>
    </row>
    <row r="1190" spans="2:172" ht="12.75">
      <c r="B1190" s="3"/>
      <c r="FP1190" s="3"/>
    </row>
    <row r="1191" spans="2:172" ht="12.75">
      <c r="B1191" s="3"/>
      <c r="FP1191" s="3"/>
    </row>
    <row r="1192" spans="2:172" ht="12.75">
      <c r="B1192" s="3"/>
      <c r="FP1192" s="3"/>
    </row>
    <row r="1193" spans="2:172" ht="12.75">
      <c r="B1193" s="3"/>
      <c r="FP1193" s="3"/>
    </row>
    <row r="1194" spans="2:172" ht="12.75">
      <c r="B1194" s="3"/>
      <c r="FP1194" s="3"/>
    </row>
    <row r="1195" spans="2:172" ht="12.75">
      <c r="B1195" s="3"/>
      <c r="FP1195" s="3"/>
    </row>
    <row r="1196" spans="2:172" ht="12.75">
      <c r="B1196" s="3"/>
      <c r="FP1196" s="3"/>
    </row>
    <row r="1197" spans="2:172" ht="12.75">
      <c r="B1197" s="3"/>
      <c r="FP1197" s="3"/>
    </row>
    <row r="1198" spans="2:172" ht="12.75">
      <c r="B1198" s="3"/>
      <c r="FP1198" s="3"/>
    </row>
    <row r="1199" spans="2:172" ht="12.75">
      <c r="B1199" s="3"/>
      <c r="FP1199" s="3"/>
    </row>
    <row r="1200" spans="2:172" ht="12.75">
      <c r="B1200" s="3"/>
      <c r="FP1200" s="3"/>
    </row>
    <row r="1201" spans="2:172" ht="12.75">
      <c r="B1201" s="3"/>
      <c r="FP1201" s="3"/>
    </row>
    <row r="1202" spans="2:172" ht="12.75">
      <c r="B1202" s="3"/>
      <c r="FP1202" s="3"/>
    </row>
    <row r="1203" spans="2:172" ht="12.75">
      <c r="B1203" s="3"/>
      <c r="FP1203" s="3"/>
    </row>
    <row r="1204" spans="2:172" ht="12.75">
      <c r="B1204" s="3"/>
      <c r="FP1204" s="3"/>
    </row>
    <row r="1205" spans="2:172" ht="12.75">
      <c r="B1205" s="3"/>
      <c r="FP1205" s="3"/>
    </row>
    <row r="1206" spans="2:172" ht="12.75">
      <c r="B1206" s="3"/>
      <c r="FP1206" s="3"/>
    </row>
    <row r="1207" spans="2:172" ht="12.75">
      <c r="B1207" s="3"/>
      <c r="FP1207" s="3"/>
    </row>
    <row r="1208" spans="2:172" ht="12.75">
      <c r="B1208" s="3"/>
      <c r="FP1208" s="3"/>
    </row>
    <row r="1209" spans="2:172" ht="12.75">
      <c r="B1209" s="3"/>
      <c r="FP1209" s="3"/>
    </row>
    <row r="1210" spans="2:172" ht="12.75">
      <c r="B1210" s="3"/>
      <c r="FP1210" s="3"/>
    </row>
    <row r="1211" spans="2:172" ht="12.75">
      <c r="B1211" s="3"/>
      <c r="FP1211" s="3"/>
    </row>
    <row r="1212" spans="2:172" ht="12.75">
      <c r="B1212" s="3"/>
      <c r="FP1212" s="3"/>
    </row>
    <row r="1213" spans="2:172" ht="12.75">
      <c r="B1213" s="3"/>
      <c r="FP1213" s="3"/>
    </row>
    <row r="1214" spans="2:172" ht="12.75">
      <c r="B1214" s="3"/>
      <c r="FP1214" s="3"/>
    </row>
    <row r="1215" spans="2:172" ht="12.75">
      <c r="B1215" s="3"/>
      <c r="FP1215" s="3"/>
    </row>
    <row r="1216" spans="2:172" ht="12.75">
      <c r="B1216" s="3"/>
      <c r="FP1216" s="3"/>
    </row>
    <row r="1217" spans="2:172" ht="12.75">
      <c r="B1217" s="3"/>
      <c r="FP1217" s="3"/>
    </row>
    <row r="1218" spans="2:172" ht="12.75">
      <c r="B1218" s="3"/>
      <c r="FP1218" s="3"/>
    </row>
    <row r="1219" spans="2:172" ht="12.75">
      <c r="B1219" s="3"/>
      <c r="FP1219" s="3"/>
    </row>
    <row r="1220" spans="2:172" ht="12.75">
      <c r="B1220" s="3"/>
      <c r="FP1220" s="3"/>
    </row>
    <row r="1221" spans="2:172" ht="12.75">
      <c r="B1221" s="3"/>
      <c r="FP1221" s="3"/>
    </row>
    <row r="1222" spans="2:172" ht="12.75">
      <c r="B1222" s="3"/>
      <c r="FP1222" s="3"/>
    </row>
    <row r="1223" spans="2:172" ht="12.75">
      <c r="B1223" s="3"/>
      <c r="FP1223" s="3"/>
    </row>
    <row r="1224" spans="2:172" ht="12.75">
      <c r="B1224" s="3"/>
      <c r="FP1224" s="3"/>
    </row>
    <row r="1225" spans="2:172" ht="12.75">
      <c r="B1225" s="3"/>
      <c r="FP1225" s="3"/>
    </row>
    <row r="1226" spans="2:172" ht="12.75">
      <c r="B1226" s="3"/>
      <c r="FP1226" s="3"/>
    </row>
    <row r="1227" spans="2:172" ht="12.75">
      <c r="B1227" s="3"/>
      <c r="FP1227" s="3"/>
    </row>
    <row r="1228" spans="2:172" ht="12.75">
      <c r="B1228" s="3"/>
      <c r="FP1228" s="3"/>
    </row>
    <row r="1229" spans="2:172" ht="12.75">
      <c r="B1229" s="3"/>
      <c r="FP1229" s="3"/>
    </row>
    <row r="1230" spans="2:172" ht="12.75">
      <c r="B1230" s="3"/>
      <c r="FP1230" s="3"/>
    </row>
    <row r="1231" spans="2:172" ht="12.75">
      <c r="B1231" s="3"/>
      <c r="FP1231" s="3"/>
    </row>
    <row r="1232" spans="2:172" ht="12.75">
      <c r="B1232" s="3"/>
      <c r="FP1232" s="3"/>
    </row>
    <row r="1233" spans="2:172" ht="12.75">
      <c r="B1233" s="3"/>
      <c r="FP1233" s="3"/>
    </row>
    <row r="1234" spans="2:172" ht="12.75">
      <c r="B1234" s="3"/>
      <c r="FP1234" s="3"/>
    </row>
    <row r="1235" ht="12.75">
      <c r="B1235" s="3"/>
    </row>
    <row r="1236" ht="12.75">
      <c r="B1236" s="3"/>
    </row>
    <row r="1237" ht="12.75">
      <c r="B1237" s="3"/>
    </row>
    <row r="1238" ht="12.75">
      <c r="B1238" s="3"/>
    </row>
    <row r="1239" ht="12.75">
      <c r="B1239" s="3"/>
    </row>
    <row r="1240" ht="12.75">
      <c r="B1240" s="3"/>
    </row>
    <row r="1241" ht="12.75">
      <c r="B1241" s="3"/>
    </row>
    <row r="1242" ht="12.75">
      <c r="B1242" s="3"/>
    </row>
    <row r="1243" ht="12.75">
      <c r="B1243" s="3"/>
    </row>
    <row r="1244" ht="12.75">
      <c r="B1244" s="3"/>
    </row>
    <row r="1245" ht="12.75">
      <c r="B1245" s="3"/>
    </row>
    <row r="1246" ht="12.75">
      <c r="B1246" s="3"/>
    </row>
    <row r="1247" ht="12.75">
      <c r="B1247" s="3"/>
    </row>
    <row r="1248" ht="12.75">
      <c r="B1248" s="3"/>
    </row>
    <row r="1249" ht="12.75">
      <c r="B1249" s="3"/>
    </row>
    <row r="1250" ht="12.75">
      <c r="B1250" s="3"/>
    </row>
    <row r="1251" ht="12.75">
      <c r="B1251" s="3"/>
    </row>
    <row r="1252" ht="12.75">
      <c r="B1252" s="3"/>
    </row>
    <row r="1253" ht="12.75">
      <c r="B1253" s="3"/>
    </row>
    <row r="1254" ht="12.75">
      <c r="B1254" s="3"/>
    </row>
    <row r="1255" ht="12.75">
      <c r="B1255" s="3"/>
    </row>
    <row r="1256" ht="12.75">
      <c r="B1256" s="3"/>
    </row>
    <row r="1257" ht="12.75">
      <c r="B1257" s="3"/>
    </row>
    <row r="1258" ht="12.75">
      <c r="B1258" s="3"/>
    </row>
    <row r="1259" ht="12.75">
      <c r="B1259" s="3"/>
    </row>
    <row r="1260" ht="12.75">
      <c r="B1260" s="3"/>
    </row>
    <row r="1261" ht="12.75">
      <c r="B1261" s="3"/>
    </row>
    <row r="1262" ht="12.75">
      <c r="B1262" s="3"/>
    </row>
    <row r="1263" ht="12.75">
      <c r="B1263" s="3"/>
    </row>
    <row r="1264" ht="12.75">
      <c r="B1264" s="3"/>
    </row>
    <row r="1265" ht="12.75">
      <c r="B1265" s="3"/>
    </row>
    <row r="1266" ht="12.75">
      <c r="B1266" s="3"/>
    </row>
    <row r="1267" ht="12.75">
      <c r="B1267" s="3"/>
    </row>
    <row r="1268" ht="12.75">
      <c r="B1268" s="3"/>
    </row>
    <row r="1269" ht="12.75">
      <c r="B1269" s="3"/>
    </row>
    <row r="1270" ht="12.75">
      <c r="B1270" s="3"/>
    </row>
    <row r="1271" ht="12.75">
      <c r="B1271" s="3"/>
    </row>
    <row r="1272" ht="12.75">
      <c r="B1272" s="3"/>
    </row>
    <row r="1273" ht="12.75">
      <c r="B1273" s="3"/>
    </row>
    <row r="1274" ht="12.75">
      <c r="B1274" s="3"/>
    </row>
    <row r="1275" ht="12.75">
      <c r="B1275" s="3"/>
    </row>
    <row r="1276" ht="12.75">
      <c r="B1276" s="3"/>
    </row>
    <row r="1277" ht="12.75">
      <c r="B1277" s="3"/>
    </row>
    <row r="1278" ht="12.75">
      <c r="B1278" s="3"/>
    </row>
    <row r="1279" ht="12.75">
      <c r="B1279" s="3"/>
    </row>
    <row r="1280" ht="12.75">
      <c r="B1280" s="3"/>
    </row>
    <row r="1281" ht="12.75">
      <c r="B1281" s="3"/>
    </row>
    <row r="1282" ht="12.75">
      <c r="B1282" s="3"/>
    </row>
    <row r="1283" ht="12.75">
      <c r="B1283" s="3"/>
    </row>
    <row r="1284" ht="12.75">
      <c r="B1284" s="3"/>
    </row>
    <row r="1285" ht="12.75">
      <c r="B1285" s="3"/>
    </row>
    <row r="1286" ht="12.75">
      <c r="B1286" s="3"/>
    </row>
    <row r="1287" ht="12.75">
      <c r="B1287" s="3"/>
    </row>
    <row r="1288" ht="12.75">
      <c r="B1288" s="3"/>
    </row>
    <row r="1289" ht="12.75">
      <c r="B1289" s="3"/>
    </row>
    <row r="1290" ht="12.75">
      <c r="B1290" s="3"/>
    </row>
    <row r="1291" ht="12.75">
      <c r="B1291" s="3"/>
    </row>
    <row r="1292" ht="12.75">
      <c r="B1292" s="3"/>
    </row>
    <row r="1293" ht="12.75">
      <c r="B1293" s="3"/>
    </row>
    <row r="1294" ht="12.75">
      <c r="B1294" s="3"/>
    </row>
    <row r="1295" ht="12.75">
      <c r="B1295" s="3"/>
    </row>
    <row r="1296" ht="12.75">
      <c r="B1296" s="3"/>
    </row>
    <row r="1297" ht="12.75">
      <c r="B1297" s="3"/>
    </row>
    <row r="1298" ht="12.75">
      <c r="B1298" s="3"/>
    </row>
    <row r="1299" ht="12.75">
      <c r="B1299" s="3"/>
    </row>
    <row r="1300" ht="12.75">
      <c r="B1300" s="3"/>
    </row>
    <row r="1301" ht="12.75">
      <c r="B1301" s="3"/>
    </row>
    <row r="1302" ht="12.75">
      <c r="B1302" s="3"/>
    </row>
    <row r="1303" ht="12.75">
      <c r="B1303" s="3"/>
    </row>
    <row r="1304" ht="12.75">
      <c r="B1304" s="3"/>
    </row>
    <row r="1305" ht="12.75">
      <c r="B1305" s="3"/>
    </row>
    <row r="1306" ht="12.75">
      <c r="B1306" s="3"/>
    </row>
    <row r="1307" ht="12.75">
      <c r="B1307" s="3"/>
    </row>
    <row r="1308" ht="12.75">
      <c r="B1308" s="3"/>
    </row>
    <row r="1309" ht="12.75">
      <c r="B1309" s="3"/>
    </row>
    <row r="1310" ht="12.75">
      <c r="B1310" s="3"/>
    </row>
    <row r="1311" ht="12.75">
      <c r="B1311" s="3"/>
    </row>
    <row r="1312" ht="12.75">
      <c r="B1312" s="3"/>
    </row>
    <row r="1313" ht="12.75">
      <c r="B1313" s="3"/>
    </row>
    <row r="1314" ht="12.75">
      <c r="B1314" s="3"/>
    </row>
    <row r="1315" ht="12.75">
      <c r="B1315" s="3"/>
    </row>
    <row r="1316" ht="12.75">
      <c r="B1316" s="3"/>
    </row>
    <row r="1317" ht="12.75">
      <c r="B1317" s="3"/>
    </row>
    <row r="1318" ht="12.75">
      <c r="B1318" s="3"/>
    </row>
    <row r="1319" ht="12.75">
      <c r="B1319" s="3"/>
    </row>
    <row r="1320" ht="12.75">
      <c r="B1320" s="3"/>
    </row>
    <row r="1321" ht="12.75">
      <c r="B1321" s="3"/>
    </row>
    <row r="1322" ht="12.75">
      <c r="B1322" s="3"/>
    </row>
    <row r="1323" ht="12.75">
      <c r="B1323" s="3"/>
    </row>
    <row r="1324" ht="12.75">
      <c r="B1324" s="3"/>
    </row>
    <row r="1325" ht="12.75">
      <c r="B1325" s="3"/>
    </row>
    <row r="1326" ht="12.75">
      <c r="B1326" s="3"/>
    </row>
    <row r="1327" ht="12.75">
      <c r="B1327" s="3"/>
    </row>
    <row r="1328" ht="12.75">
      <c r="B1328" s="3"/>
    </row>
    <row r="1329" ht="12.75">
      <c r="B1329" s="3"/>
    </row>
    <row r="1330" ht="12.75">
      <c r="B1330" s="3"/>
    </row>
    <row r="1331" ht="12.75">
      <c r="B1331" s="3"/>
    </row>
    <row r="1332" ht="12.75">
      <c r="B1332" s="3"/>
    </row>
    <row r="1333" ht="12.75">
      <c r="B1333" s="3"/>
    </row>
    <row r="1334" ht="12.75">
      <c r="B1334" s="3"/>
    </row>
    <row r="1335" ht="12.75">
      <c r="B1335" s="3"/>
    </row>
    <row r="1336" ht="12.75">
      <c r="B1336" s="3"/>
    </row>
    <row r="1337" ht="12.75">
      <c r="B1337" s="3"/>
    </row>
    <row r="1338" ht="12.75">
      <c r="B1338" s="3"/>
    </row>
    <row r="1339" ht="12.75">
      <c r="B1339" s="3"/>
    </row>
    <row r="1340" ht="12.75">
      <c r="B1340" s="3"/>
    </row>
    <row r="1341" ht="12.75">
      <c r="B1341" s="3"/>
    </row>
    <row r="1342" ht="12.75">
      <c r="B1342" s="3"/>
    </row>
    <row r="1343" ht="12.75">
      <c r="B1343" s="3"/>
    </row>
    <row r="1344" ht="12.75">
      <c r="B1344" s="3"/>
    </row>
    <row r="1345" ht="12.75">
      <c r="B1345" s="3"/>
    </row>
    <row r="1346" ht="12.75">
      <c r="B1346" s="3"/>
    </row>
    <row r="1347" ht="12.75">
      <c r="B1347" s="3"/>
    </row>
    <row r="1348" ht="12.75">
      <c r="B1348" s="3"/>
    </row>
    <row r="1349" ht="12.75">
      <c r="B1349" s="3"/>
    </row>
    <row r="1350" ht="12.75">
      <c r="B1350" s="3"/>
    </row>
    <row r="1351" ht="12.75">
      <c r="B1351" s="3"/>
    </row>
    <row r="1352" ht="12.75">
      <c r="B1352" s="3"/>
    </row>
    <row r="1353" ht="12.75">
      <c r="B1353" s="3"/>
    </row>
    <row r="1354" ht="12.75">
      <c r="B1354" s="3"/>
    </row>
    <row r="1355" ht="12.75">
      <c r="B1355" s="3"/>
    </row>
    <row r="1356" ht="12.75">
      <c r="B1356" s="3"/>
    </row>
    <row r="1357" ht="12.75">
      <c r="B1357" s="3"/>
    </row>
    <row r="1358" ht="12.75">
      <c r="B1358" s="3"/>
    </row>
    <row r="1359" ht="12.75">
      <c r="B1359" s="3"/>
    </row>
    <row r="1360" ht="12.75">
      <c r="B1360" s="3"/>
    </row>
    <row r="1361" ht="12.75">
      <c r="B1361" s="3"/>
    </row>
    <row r="1362" ht="12.75">
      <c r="B1362" s="3"/>
    </row>
    <row r="1363" ht="12.75">
      <c r="B1363" s="3"/>
    </row>
    <row r="1364" ht="12.75">
      <c r="B1364" s="3"/>
    </row>
    <row r="1365" ht="12.75">
      <c r="B1365" s="3"/>
    </row>
    <row r="1366" ht="12.75">
      <c r="B1366" s="3"/>
    </row>
    <row r="1367" ht="12.75">
      <c r="B1367" s="3"/>
    </row>
    <row r="1368" ht="12.75">
      <c r="B1368" s="3"/>
    </row>
    <row r="1369" ht="12.75">
      <c r="B1369" s="3"/>
    </row>
    <row r="1370" ht="12.75">
      <c r="B1370" s="3"/>
    </row>
    <row r="1371" ht="12.75">
      <c r="B1371" s="3"/>
    </row>
    <row r="1372" ht="12.75">
      <c r="B1372" s="3"/>
    </row>
    <row r="1373" ht="12.75">
      <c r="B1373" s="3"/>
    </row>
    <row r="1374" ht="12.75">
      <c r="B1374" s="3"/>
    </row>
    <row r="1375" ht="12.75">
      <c r="B1375" s="3"/>
    </row>
    <row r="1376" ht="12.75">
      <c r="B1376" s="3"/>
    </row>
    <row r="1377" ht="12.75">
      <c r="B1377" s="3"/>
    </row>
    <row r="1378" ht="12.75">
      <c r="B1378" s="3"/>
    </row>
    <row r="1379" ht="12.75">
      <c r="B1379" s="3"/>
    </row>
    <row r="1380" ht="12.75">
      <c r="B1380" s="3"/>
    </row>
    <row r="1381" ht="12.75">
      <c r="B1381" s="3"/>
    </row>
    <row r="1382" ht="12.75">
      <c r="B1382" s="3"/>
    </row>
    <row r="1383" ht="12.75">
      <c r="B1383" s="3"/>
    </row>
    <row r="1384" ht="12.75">
      <c r="B1384" s="3"/>
    </row>
    <row r="1385" ht="12.75">
      <c r="B1385" s="3"/>
    </row>
    <row r="1386" ht="12.75">
      <c r="B1386" s="3"/>
    </row>
    <row r="1387" ht="12.75">
      <c r="B1387" s="3"/>
    </row>
    <row r="1388" ht="12.75">
      <c r="B1388" s="3"/>
    </row>
    <row r="1389" ht="12.75">
      <c r="B1389" s="3"/>
    </row>
    <row r="1390" ht="12.75">
      <c r="B1390" s="3"/>
    </row>
    <row r="1391" ht="12.75">
      <c r="B1391" s="3"/>
    </row>
    <row r="1392" ht="12.75">
      <c r="B1392" s="3"/>
    </row>
    <row r="1393" ht="12.75">
      <c r="B1393" s="3"/>
    </row>
    <row r="1394" ht="12.75">
      <c r="B1394" s="3"/>
    </row>
    <row r="1395" ht="12.75">
      <c r="B1395" s="3"/>
    </row>
    <row r="1396" ht="12.75">
      <c r="B1396" s="3"/>
    </row>
    <row r="1397" ht="12.75">
      <c r="B1397" s="3"/>
    </row>
    <row r="1398" ht="12.75">
      <c r="B1398" s="3"/>
    </row>
    <row r="1399" ht="12.75">
      <c r="B1399" s="3"/>
    </row>
    <row r="1400" ht="12.75">
      <c r="B1400" s="3"/>
    </row>
    <row r="1401" ht="12.75">
      <c r="B1401" s="3"/>
    </row>
    <row r="1402" ht="12.75">
      <c r="B1402" s="3"/>
    </row>
    <row r="1403" ht="12.75">
      <c r="B1403" s="3"/>
    </row>
    <row r="1404" ht="12.75">
      <c r="B1404" s="3"/>
    </row>
    <row r="1405" ht="12.75">
      <c r="B1405" s="3"/>
    </row>
    <row r="1406" ht="12.75">
      <c r="B1406" s="3"/>
    </row>
    <row r="1407" ht="12.75">
      <c r="B1407" s="3"/>
    </row>
    <row r="1408" ht="12.75">
      <c r="B1408" s="3"/>
    </row>
    <row r="1409" ht="12.75">
      <c r="B1409" s="3"/>
    </row>
    <row r="1410" ht="12.75">
      <c r="B1410" s="3"/>
    </row>
    <row r="1411" ht="12.75">
      <c r="B1411" s="3"/>
    </row>
    <row r="1412" ht="12.75">
      <c r="B1412" s="3"/>
    </row>
    <row r="1413" ht="12.75">
      <c r="B1413" s="3"/>
    </row>
    <row r="1414" ht="12.75">
      <c r="B1414" s="3"/>
    </row>
    <row r="1415" ht="12.75">
      <c r="B1415" s="3"/>
    </row>
    <row r="1416" ht="12.75">
      <c r="B1416" s="3"/>
    </row>
    <row r="1417" ht="12.75">
      <c r="B1417" s="3"/>
    </row>
    <row r="1418" ht="12.75">
      <c r="B1418" s="3"/>
    </row>
    <row r="1419" ht="12.75">
      <c r="B1419" s="3"/>
    </row>
    <row r="1420" ht="12.75">
      <c r="B1420" s="3"/>
    </row>
    <row r="1421" ht="12.75">
      <c r="B1421" s="3"/>
    </row>
    <row r="1422" ht="12.75">
      <c r="B1422" s="3"/>
    </row>
    <row r="1423" ht="12.75">
      <c r="B1423" s="3"/>
    </row>
    <row r="1424" ht="12.75">
      <c r="B1424" s="3"/>
    </row>
    <row r="1425" ht="12.75">
      <c r="B1425" s="3"/>
    </row>
    <row r="1426" ht="12.75">
      <c r="B1426" s="3"/>
    </row>
    <row r="1427" ht="12.75">
      <c r="B1427" s="3"/>
    </row>
    <row r="1428" ht="12.75">
      <c r="B1428" s="3"/>
    </row>
    <row r="1429" ht="12.75">
      <c r="B1429" s="3"/>
    </row>
    <row r="1430" ht="12.75">
      <c r="B1430" s="3"/>
    </row>
    <row r="1431" ht="12.75">
      <c r="B1431" s="3"/>
    </row>
    <row r="1432" ht="12.75">
      <c r="B1432" s="3"/>
    </row>
    <row r="1433" ht="12.75">
      <c r="B1433" s="3"/>
    </row>
    <row r="1434" ht="12.75">
      <c r="B1434" s="3"/>
    </row>
    <row r="1435" ht="12.75">
      <c r="B1435" s="3"/>
    </row>
    <row r="1436" ht="12.75">
      <c r="B1436" s="3"/>
    </row>
    <row r="1437" ht="12.75">
      <c r="B1437" s="3"/>
    </row>
    <row r="1438" ht="12.75">
      <c r="B1438" s="3"/>
    </row>
    <row r="1439" ht="12.75">
      <c r="B1439" s="3"/>
    </row>
    <row r="1440" ht="12.75">
      <c r="B1440" s="3"/>
    </row>
    <row r="1441" ht="12.75">
      <c r="B1441" s="3"/>
    </row>
    <row r="1442" ht="12.75">
      <c r="B1442" s="3"/>
    </row>
    <row r="1443" ht="12.75">
      <c r="B1443" s="3"/>
    </row>
    <row r="1444" ht="12.75">
      <c r="B1444" s="3"/>
    </row>
    <row r="1445" ht="12.75">
      <c r="B1445" s="3"/>
    </row>
    <row r="1446" ht="12.75">
      <c r="B1446" s="3"/>
    </row>
    <row r="1447" ht="12.75">
      <c r="B1447" s="3"/>
    </row>
    <row r="1448" ht="12.75">
      <c r="B1448" s="3"/>
    </row>
    <row r="1449" ht="12.75">
      <c r="B1449" s="3"/>
    </row>
    <row r="1450" ht="12.75">
      <c r="B1450" s="3"/>
    </row>
    <row r="1451" ht="12.75">
      <c r="B1451" s="3"/>
    </row>
    <row r="1452" ht="12.75">
      <c r="B1452" s="3"/>
    </row>
    <row r="1453" ht="12.75">
      <c r="B1453" s="3"/>
    </row>
    <row r="1454" ht="12.75">
      <c r="B1454" s="3"/>
    </row>
    <row r="1455" ht="12.75">
      <c r="B1455" s="3"/>
    </row>
    <row r="1456" ht="12.75">
      <c r="B1456" s="3"/>
    </row>
    <row r="1457" ht="12.75">
      <c r="B1457" s="3"/>
    </row>
    <row r="1458" ht="12.75">
      <c r="B1458" s="3"/>
    </row>
    <row r="1459" ht="12.75">
      <c r="B1459" s="3"/>
    </row>
    <row r="1460" ht="12.75">
      <c r="B1460" s="3"/>
    </row>
    <row r="1461" ht="12.75">
      <c r="B1461" s="3"/>
    </row>
    <row r="1462" ht="12.75">
      <c r="B1462" s="3"/>
    </row>
    <row r="1463" ht="12.75">
      <c r="B1463" s="3"/>
    </row>
    <row r="1464" ht="12.75">
      <c r="B1464" s="3"/>
    </row>
    <row r="1465" ht="12.75">
      <c r="B1465" s="3"/>
    </row>
    <row r="1466" ht="12.75">
      <c r="B1466" s="3"/>
    </row>
    <row r="1467" ht="12.75">
      <c r="B1467" s="3"/>
    </row>
    <row r="1468" ht="12.75">
      <c r="B1468" s="3"/>
    </row>
    <row r="1469" ht="12.75">
      <c r="B1469" s="3"/>
    </row>
    <row r="1470" ht="12.75">
      <c r="B1470" s="3"/>
    </row>
    <row r="1471" ht="12.75">
      <c r="B1471" s="3"/>
    </row>
    <row r="1472" ht="12.75">
      <c r="B1472" s="3"/>
    </row>
    <row r="1473" ht="12.75">
      <c r="B1473" s="3"/>
    </row>
    <row r="1474" ht="12.75">
      <c r="B1474" s="3"/>
    </row>
    <row r="1475" ht="12.75">
      <c r="B1475" s="3"/>
    </row>
    <row r="1476" ht="12.75">
      <c r="B1476" s="3"/>
    </row>
    <row r="1477" ht="12.75">
      <c r="B1477" s="3"/>
    </row>
    <row r="1478" ht="12.75">
      <c r="B1478" s="3"/>
    </row>
    <row r="1479" ht="12.75">
      <c r="B1479" s="3"/>
    </row>
    <row r="1480" ht="12.75">
      <c r="B1480" s="3"/>
    </row>
    <row r="1481" ht="12.75">
      <c r="B1481" s="3"/>
    </row>
    <row r="1482" ht="12.75">
      <c r="B1482" s="3"/>
    </row>
    <row r="1483" ht="12.75">
      <c r="B1483" s="3"/>
    </row>
    <row r="1484" ht="12.75">
      <c r="B1484" s="3"/>
    </row>
    <row r="1485" ht="12.75">
      <c r="B1485" s="3"/>
    </row>
    <row r="1486" ht="12.75">
      <c r="B1486" s="3"/>
    </row>
    <row r="1487" ht="12.75">
      <c r="B1487" s="3"/>
    </row>
    <row r="1488" ht="12.75">
      <c r="B1488" s="3"/>
    </row>
    <row r="1489" ht="12.75">
      <c r="B1489" s="3"/>
    </row>
    <row r="1490" ht="12.75">
      <c r="B1490" s="3"/>
    </row>
    <row r="1491" ht="12.75">
      <c r="B1491" s="3"/>
    </row>
    <row r="1492" ht="12.75">
      <c r="B1492" s="3"/>
    </row>
    <row r="1493" ht="12.75">
      <c r="B1493" s="3"/>
    </row>
    <row r="1494" ht="12.75">
      <c r="B1494" s="3"/>
    </row>
    <row r="1495" ht="12.75">
      <c r="B1495" s="3"/>
    </row>
    <row r="1496" ht="12.75">
      <c r="B1496" s="3"/>
    </row>
    <row r="1497" ht="12.75">
      <c r="B1497" s="3"/>
    </row>
    <row r="1498" ht="12.75">
      <c r="B1498" s="3"/>
    </row>
    <row r="1499" ht="12.75">
      <c r="B1499" s="3"/>
    </row>
    <row r="1500" ht="12.75">
      <c r="B1500" s="3"/>
    </row>
    <row r="1501" ht="12.75">
      <c r="B1501" s="3"/>
    </row>
    <row r="1502" ht="12.75">
      <c r="B1502" s="3"/>
    </row>
    <row r="1503" ht="12.75">
      <c r="B1503" s="3"/>
    </row>
    <row r="1504" ht="12.75">
      <c r="B1504" s="3"/>
    </row>
    <row r="1505" ht="12.75">
      <c r="B1505" s="3"/>
    </row>
    <row r="1506" ht="12.75">
      <c r="B1506" s="3"/>
    </row>
    <row r="1507" ht="12.75">
      <c r="B1507" s="3"/>
    </row>
    <row r="1508" ht="12.75">
      <c r="B1508" s="3"/>
    </row>
    <row r="1509" ht="12.75">
      <c r="B1509" s="3"/>
    </row>
    <row r="1510" ht="12.75">
      <c r="B1510" s="3"/>
    </row>
    <row r="1511" ht="12.75">
      <c r="B1511" s="3"/>
    </row>
    <row r="1512" ht="12.75">
      <c r="B1512" s="3"/>
    </row>
    <row r="1513" ht="12.75">
      <c r="B1513" s="3"/>
    </row>
    <row r="1514" ht="12.75">
      <c r="B1514" s="3"/>
    </row>
    <row r="1515" ht="12.75">
      <c r="B1515" s="3"/>
    </row>
    <row r="1516" ht="12.75">
      <c r="B1516" s="3"/>
    </row>
    <row r="1517" ht="12.75">
      <c r="B1517" s="3"/>
    </row>
    <row r="1518" ht="12.75">
      <c r="B1518" s="3"/>
    </row>
    <row r="1519" ht="12.75">
      <c r="B1519" s="3"/>
    </row>
    <row r="1520" ht="12.75">
      <c r="B1520" s="3"/>
    </row>
    <row r="1521" ht="12.75">
      <c r="B1521" s="3"/>
    </row>
    <row r="1522" ht="12.75">
      <c r="B1522" s="3"/>
    </row>
    <row r="1523" ht="12.75">
      <c r="B1523" s="3"/>
    </row>
    <row r="1524" ht="12.75">
      <c r="B1524" s="3"/>
    </row>
    <row r="1525" ht="12.75">
      <c r="B1525" s="3"/>
    </row>
    <row r="1526" ht="12.75">
      <c r="B1526" s="3"/>
    </row>
    <row r="1527" ht="12.75">
      <c r="B1527" s="3"/>
    </row>
    <row r="1528" ht="12.75">
      <c r="B1528" s="3"/>
    </row>
    <row r="1529" ht="12.75">
      <c r="B1529" s="3"/>
    </row>
    <row r="1530" ht="12.75">
      <c r="B1530" s="3"/>
    </row>
    <row r="1531" ht="12.75">
      <c r="B1531" s="3"/>
    </row>
    <row r="1532" ht="12.75">
      <c r="B1532" s="3"/>
    </row>
    <row r="1533" ht="12.75">
      <c r="B1533" s="3"/>
    </row>
    <row r="1534" ht="12.75">
      <c r="B1534" s="3"/>
    </row>
    <row r="1535" ht="12.75">
      <c r="B1535" s="3"/>
    </row>
    <row r="1536" ht="12.75">
      <c r="B1536" s="3"/>
    </row>
    <row r="1537" ht="12.75">
      <c r="B1537" s="3"/>
    </row>
    <row r="1538" ht="12.75">
      <c r="B1538" s="3"/>
    </row>
    <row r="1539" ht="12.75">
      <c r="B1539" s="3"/>
    </row>
    <row r="1540" ht="12.75">
      <c r="B1540" s="3"/>
    </row>
    <row r="1541" ht="12.75">
      <c r="B1541" s="3"/>
    </row>
    <row r="1542" ht="12.75">
      <c r="B1542" s="3"/>
    </row>
    <row r="1543" ht="12.75">
      <c r="B1543" s="3"/>
    </row>
    <row r="1544" ht="12.75">
      <c r="B1544" s="3"/>
    </row>
    <row r="1545" ht="12.75">
      <c r="B1545" s="3"/>
    </row>
    <row r="1546" ht="12.75">
      <c r="B1546" s="3"/>
    </row>
    <row r="1547" ht="12.75">
      <c r="B1547" s="3"/>
    </row>
    <row r="1548" ht="12.75">
      <c r="B1548" s="3"/>
    </row>
    <row r="1549" ht="12.75">
      <c r="B1549" s="3"/>
    </row>
    <row r="1550" ht="12.75">
      <c r="B1550" s="3"/>
    </row>
    <row r="1551" ht="12.75">
      <c r="B1551" s="3"/>
    </row>
    <row r="1552" ht="12.75">
      <c r="B1552" s="3"/>
    </row>
    <row r="1553" ht="12.75">
      <c r="B1553" s="3"/>
    </row>
    <row r="1554" ht="12.75">
      <c r="B1554" s="3"/>
    </row>
    <row r="1555" ht="12.75">
      <c r="B1555" s="3"/>
    </row>
    <row r="1556" ht="12.75">
      <c r="B1556" s="3"/>
    </row>
    <row r="1557" ht="12.75">
      <c r="B1557" s="3"/>
    </row>
    <row r="1558" ht="12.75">
      <c r="B1558" s="3"/>
    </row>
    <row r="1559" ht="12.75">
      <c r="B1559" s="3"/>
    </row>
    <row r="1560" ht="12.75">
      <c r="B1560" s="3"/>
    </row>
    <row r="1561" ht="12.75">
      <c r="B1561" s="3"/>
    </row>
    <row r="1562" ht="12.75">
      <c r="B1562" s="3"/>
    </row>
    <row r="1563" ht="12.75">
      <c r="B1563" s="3"/>
    </row>
    <row r="1564" ht="12.75">
      <c r="B1564" s="3"/>
    </row>
    <row r="1565" ht="12.75">
      <c r="B1565" s="3"/>
    </row>
    <row r="1566" ht="12.75">
      <c r="B1566" s="3"/>
    </row>
    <row r="1567" ht="12.75">
      <c r="B1567" s="3"/>
    </row>
    <row r="1568" ht="12.75">
      <c r="B1568" s="3"/>
    </row>
    <row r="1569" ht="12.75">
      <c r="B1569" s="3"/>
    </row>
    <row r="1570" ht="12.75">
      <c r="B1570" s="3"/>
    </row>
    <row r="1571" ht="12.75">
      <c r="B1571" s="3"/>
    </row>
    <row r="1572" ht="12.75">
      <c r="B1572" s="3"/>
    </row>
    <row r="1573" ht="12.75">
      <c r="B1573" s="3"/>
    </row>
    <row r="1574" ht="12.75">
      <c r="B1574" s="3"/>
    </row>
    <row r="1575" ht="12.75">
      <c r="B1575" s="3"/>
    </row>
    <row r="1576" ht="12.75">
      <c r="B1576" s="3"/>
    </row>
    <row r="1577" ht="12.75">
      <c r="B1577" s="3"/>
    </row>
    <row r="1578" ht="12.75">
      <c r="B1578" s="3"/>
    </row>
    <row r="1579" ht="12.75">
      <c r="B1579" s="3"/>
    </row>
    <row r="1580" ht="12.75">
      <c r="B1580" s="3"/>
    </row>
    <row r="1581" ht="12.75">
      <c r="B1581" s="3"/>
    </row>
    <row r="1582" ht="12.75">
      <c r="B1582" s="3"/>
    </row>
    <row r="1583" ht="12.75">
      <c r="B1583" s="3"/>
    </row>
    <row r="1584" ht="12.75">
      <c r="B1584" s="3"/>
    </row>
    <row r="1585" ht="12.75">
      <c r="B1585" s="3"/>
    </row>
    <row r="1586" ht="12.75">
      <c r="B1586" s="3"/>
    </row>
    <row r="1587" ht="12.75">
      <c r="B1587" s="3"/>
    </row>
    <row r="1588" ht="12.75">
      <c r="B1588" s="3"/>
    </row>
    <row r="1589" ht="12.75">
      <c r="B1589" s="3"/>
    </row>
    <row r="1590" ht="12.75">
      <c r="B1590" s="3"/>
    </row>
    <row r="1591" ht="12.75">
      <c r="B1591" s="3"/>
    </row>
    <row r="1592" ht="12.75">
      <c r="B1592" s="3"/>
    </row>
    <row r="1593" ht="12.75">
      <c r="B1593" s="3"/>
    </row>
    <row r="1594" ht="12.75">
      <c r="B1594" s="3"/>
    </row>
    <row r="1595" ht="12.75">
      <c r="B1595" s="3"/>
    </row>
    <row r="1596" ht="12.75">
      <c r="B1596" s="3"/>
    </row>
    <row r="1597" ht="12.75">
      <c r="B1597" s="3"/>
    </row>
    <row r="1598" ht="12.75">
      <c r="B1598" s="3"/>
    </row>
    <row r="1599" ht="12.75">
      <c r="B1599" s="3"/>
    </row>
    <row r="1600" ht="12.75">
      <c r="B1600" s="3"/>
    </row>
    <row r="1601" ht="12.75">
      <c r="B1601" s="3"/>
    </row>
    <row r="1602" ht="12.75">
      <c r="B1602" s="3"/>
    </row>
    <row r="1603" ht="12.75">
      <c r="B1603" s="3"/>
    </row>
    <row r="1604" ht="12.75">
      <c r="B1604" s="3"/>
    </row>
    <row r="1605" ht="12.75">
      <c r="B1605" s="3"/>
    </row>
    <row r="1606" ht="12.75">
      <c r="B1606" s="3"/>
    </row>
    <row r="1607" ht="12.75">
      <c r="B1607" s="3"/>
    </row>
    <row r="1608" ht="12.75">
      <c r="B1608" s="3"/>
    </row>
    <row r="1609" ht="12.75">
      <c r="B1609" s="3"/>
    </row>
    <row r="1610" ht="12.75">
      <c r="B1610" s="3"/>
    </row>
    <row r="1611" ht="12.75">
      <c r="B1611" s="3"/>
    </row>
    <row r="1612" ht="12.75">
      <c r="B1612" s="3"/>
    </row>
    <row r="1613" ht="12.75">
      <c r="B1613" s="3"/>
    </row>
    <row r="1614" ht="12.75">
      <c r="B1614" s="3"/>
    </row>
    <row r="1615" ht="12.75">
      <c r="B1615" s="3"/>
    </row>
    <row r="1616" ht="12.75">
      <c r="B1616" s="3"/>
    </row>
    <row r="1617" ht="12.75">
      <c r="B1617" s="3"/>
    </row>
    <row r="1618" ht="12.75">
      <c r="B1618" s="3"/>
    </row>
    <row r="1619" ht="12.75">
      <c r="B1619" s="3"/>
    </row>
    <row r="1620" ht="12.75">
      <c r="B1620" s="3"/>
    </row>
    <row r="1621" ht="12.75">
      <c r="B1621" s="3"/>
    </row>
    <row r="1622" ht="12.75">
      <c r="B1622" s="3"/>
    </row>
    <row r="1623" ht="12.75">
      <c r="B1623" s="3"/>
    </row>
    <row r="1624" ht="12.75">
      <c r="B1624" s="3"/>
    </row>
    <row r="1625" ht="12.75">
      <c r="B1625" s="3"/>
    </row>
    <row r="1626" ht="12.75">
      <c r="B1626" s="3"/>
    </row>
    <row r="1627" ht="12.75">
      <c r="B1627" s="3"/>
    </row>
    <row r="1628" ht="12.75">
      <c r="B1628" s="3"/>
    </row>
    <row r="1629" ht="12.75">
      <c r="B1629" s="3"/>
    </row>
    <row r="1630" ht="12.75">
      <c r="B1630" s="3"/>
    </row>
    <row r="1631" ht="12.75">
      <c r="B1631" s="3"/>
    </row>
    <row r="1632" ht="12.75">
      <c r="B1632" s="3"/>
    </row>
    <row r="1633" ht="12.75">
      <c r="B1633" s="3"/>
    </row>
    <row r="1634" ht="12.75">
      <c r="B1634" s="3"/>
    </row>
    <row r="1635" ht="12.75">
      <c r="B1635" s="3"/>
    </row>
    <row r="1636" ht="12.75">
      <c r="B1636" s="3"/>
    </row>
    <row r="1637" ht="12.75">
      <c r="B1637" s="3"/>
    </row>
    <row r="1638" ht="12.75">
      <c r="B1638" s="3"/>
    </row>
    <row r="1639" ht="12.75">
      <c r="B1639" s="3"/>
    </row>
    <row r="1640" ht="12.75">
      <c r="B1640" s="3"/>
    </row>
    <row r="1641" ht="12.75">
      <c r="B1641" s="3"/>
    </row>
    <row r="1642" ht="12.75">
      <c r="B1642" s="3"/>
    </row>
    <row r="1643" ht="12.75">
      <c r="B1643" s="3"/>
    </row>
    <row r="1644" ht="12.75">
      <c r="B1644" s="3"/>
    </row>
    <row r="1645" ht="12.75">
      <c r="B1645" s="3"/>
    </row>
    <row r="1646" ht="12.75">
      <c r="B1646" s="3"/>
    </row>
    <row r="1647" ht="12.75">
      <c r="B1647" s="3"/>
    </row>
    <row r="1648" ht="12.75">
      <c r="B1648" s="3"/>
    </row>
    <row r="1649" ht="12.75">
      <c r="B1649" s="3"/>
    </row>
    <row r="1650" ht="12.75">
      <c r="B1650" s="3"/>
    </row>
    <row r="1651" ht="12.75">
      <c r="B1651" s="3"/>
    </row>
    <row r="1652" ht="12.75">
      <c r="B1652" s="3"/>
    </row>
    <row r="1653" ht="12.75">
      <c r="B1653" s="3"/>
    </row>
    <row r="1654" ht="12.75">
      <c r="B1654" s="3"/>
    </row>
    <row r="1655" ht="12.75">
      <c r="B1655" s="3"/>
    </row>
    <row r="1656" ht="12.75">
      <c r="B1656" s="3"/>
    </row>
    <row r="1657" ht="12.75">
      <c r="B1657" s="3"/>
    </row>
    <row r="1658" ht="12.75">
      <c r="B1658" s="3"/>
    </row>
    <row r="1659" ht="12.75">
      <c r="B1659" s="3"/>
    </row>
    <row r="1660" ht="12.75">
      <c r="B1660" s="3"/>
    </row>
    <row r="1661" ht="12.75">
      <c r="B1661" s="3"/>
    </row>
    <row r="1662" ht="12.75">
      <c r="B1662" s="3"/>
    </row>
    <row r="1663" ht="12.75">
      <c r="B1663" s="3"/>
    </row>
    <row r="1664" ht="12.75">
      <c r="B1664" s="3"/>
    </row>
    <row r="1665" ht="12.75">
      <c r="B1665" s="3"/>
    </row>
    <row r="1666" ht="12.75">
      <c r="B1666" s="3"/>
    </row>
    <row r="1667" ht="12.75">
      <c r="B1667" s="3"/>
    </row>
    <row r="1668" ht="12.75">
      <c r="B1668" s="3"/>
    </row>
    <row r="1669" ht="12.75">
      <c r="B1669" s="3"/>
    </row>
    <row r="1670" ht="12.75">
      <c r="B1670" s="3"/>
    </row>
    <row r="1671" ht="12.75">
      <c r="B1671" s="3"/>
    </row>
    <row r="1672" ht="12.75">
      <c r="B1672" s="3"/>
    </row>
    <row r="1673" ht="12.75">
      <c r="B1673" s="3"/>
    </row>
    <row r="1674" ht="12.75">
      <c r="B1674" s="3"/>
    </row>
    <row r="1675" ht="12.75">
      <c r="B1675" s="3"/>
    </row>
    <row r="1676" ht="12.75">
      <c r="B1676" s="3"/>
    </row>
    <row r="1677" ht="12.75">
      <c r="B1677" s="3"/>
    </row>
    <row r="1678" ht="12.75">
      <c r="B1678" s="3"/>
    </row>
    <row r="1679" ht="12.75">
      <c r="B1679" s="3"/>
    </row>
    <row r="1680" ht="12.75">
      <c r="B1680" s="3"/>
    </row>
    <row r="1681" ht="12.75">
      <c r="B1681" s="3"/>
    </row>
    <row r="1682" ht="12.75">
      <c r="B1682" s="3"/>
    </row>
    <row r="1683" ht="12.75">
      <c r="B1683" s="3"/>
    </row>
    <row r="1684" ht="12.75">
      <c r="B1684" s="3"/>
    </row>
    <row r="1685" ht="12.75">
      <c r="B1685" s="3"/>
    </row>
    <row r="1686" ht="12.75">
      <c r="B1686" s="3"/>
    </row>
    <row r="1687" ht="12.75">
      <c r="B1687" s="3"/>
    </row>
    <row r="1688" ht="12.75">
      <c r="B1688" s="3"/>
    </row>
    <row r="1689" ht="12.75">
      <c r="B1689" s="3"/>
    </row>
    <row r="1690" ht="12.75">
      <c r="B1690" s="3"/>
    </row>
    <row r="1691" ht="12.75">
      <c r="B1691" s="3"/>
    </row>
    <row r="1692" ht="12.75">
      <c r="B1692" s="3"/>
    </row>
    <row r="1693" ht="12.75">
      <c r="B1693" s="3"/>
    </row>
    <row r="1694" ht="12.75">
      <c r="B1694" s="3"/>
    </row>
    <row r="1695" ht="12.75">
      <c r="B1695" s="3"/>
    </row>
    <row r="1696" ht="12.75">
      <c r="B1696" s="3"/>
    </row>
    <row r="1697" ht="12.75">
      <c r="B1697" s="3"/>
    </row>
    <row r="1698" ht="12.75">
      <c r="B1698" s="3"/>
    </row>
    <row r="1699" ht="12.75">
      <c r="B1699" s="3"/>
    </row>
    <row r="1700" ht="12.75">
      <c r="B1700" s="3"/>
    </row>
    <row r="1701" ht="12.75">
      <c r="B1701" s="3"/>
    </row>
    <row r="1702" ht="12.75">
      <c r="B1702" s="3"/>
    </row>
    <row r="1703" ht="12.75">
      <c r="B1703" s="3"/>
    </row>
    <row r="1704" ht="12.75">
      <c r="B1704" s="3"/>
    </row>
    <row r="1705" ht="12.75">
      <c r="B1705" s="3"/>
    </row>
    <row r="1706" ht="12.75">
      <c r="B1706" s="3"/>
    </row>
    <row r="1707" ht="12.75">
      <c r="B1707" s="3"/>
    </row>
    <row r="1708" ht="12.75">
      <c r="B1708" s="3"/>
    </row>
    <row r="1709" ht="12.75">
      <c r="B1709" s="3"/>
    </row>
    <row r="1710" ht="12.75">
      <c r="B1710" s="3"/>
    </row>
    <row r="1711" ht="12.75">
      <c r="B1711" s="3"/>
    </row>
    <row r="1712" ht="12.75">
      <c r="B1712" s="3"/>
    </row>
    <row r="1713" ht="12.75">
      <c r="B1713" s="3"/>
    </row>
    <row r="1714" ht="12.75">
      <c r="B1714" s="3"/>
    </row>
    <row r="1715" ht="12.75">
      <c r="B1715" s="3"/>
    </row>
    <row r="1716" ht="12.75">
      <c r="B1716" s="3"/>
    </row>
    <row r="1717" ht="12.75">
      <c r="B1717" s="3"/>
    </row>
    <row r="1718" ht="12.75">
      <c r="B1718" s="3"/>
    </row>
    <row r="1719" ht="12.75">
      <c r="B1719" s="3"/>
    </row>
    <row r="1720" ht="12.75">
      <c r="B1720" s="3"/>
    </row>
    <row r="1721" ht="12.75">
      <c r="B1721" s="3"/>
    </row>
    <row r="1722" ht="12.75">
      <c r="B1722" s="3"/>
    </row>
    <row r="1723" ht="12.75">
      <c r="B1723" s="3"/>
    </row>
    <row r="1724" ht="12.75">
      <c r="B1724" s="3"/>
    </row>
    <row r="1725" ht="12.75">
      <c r="B1725" s="3"/>
    </row>
    <row r="1726" ht="12.75">
      <c r="B1726" s="3"/>
    </row>
    <row r="1727" ht="12.75">
      <c r="B1727" s="3"/>
    </row>
    <row r="1728" ht="12.75">
      <c r="B1728" s="3"/>
    </row>
    <row r="1729" ht="12.75">
      <c r="B1729" s="3"/>
    </row>
    <row r="1730" ht="12.75">
      <c r="B1730" s="3"/>
    </row>
    <row r="1731" ht="12.75">
      <c r="B1731" s="3"/>
    </row>
    <row r="1732" ht="12.75">
      <c r="B1732" s="3"/>
    </row>
    <row r="1733" ht="12.75">
      <c r="B1733" s="3"/>
    </row>
    <row r="1734" ht="12.75">
      <c r="B1734" s="3"/>
    </row>
    <row r="1735" ht="12.75">
      <c r="B1735" s="3"/>
    </row>
    <row r="1736" ht="12.75">
      <c r="B1736" s="3"/>
    </row>
    <row r="1737" ht="12.75">
      <c r="B1737" s="3"/>
    </row>
    <row r="1738" ht="12.75">
      <c r="B1738" s="3"/>
    </row>
    <row r="1739" ht="12.75">
      <c r="B1739" s="3"/>
    </row>
    <row r="1740" ht="12.75">
      <c r="B1740" s="3"/>
    </row>
    <row r="1741" ht="12.75">
      <c r="B1741" s="3"/>
    </row>
    <row r="1742" ht="12.75">
      <c r="B1742" s="3"/>
    </row>
    <row r="1743" ht="12.75">
      <c r="B1743" s="3"/>
    </row>
    <row r="1744" ht="12.75">
      <c r="B1744" s="3"/>
    </row>
    <row r="1745" ht="12.75">
      <c r="B1745" s="3"/>
    </row>
    <row r="1746" ht="12.75">
      <c r="B1746" s="3"/>
    </row>
    <row r="1747" ht="12.75">
      <c r="B1747" s="3"/>
    </row>
    <row r="1748" ht="12.75">
      <c r="B1748" s="3"/>
    </row>
    <row r="1749" ht="12.75">
      <c r="B1749" s="3"/>
    </row>
    <row r="1750" ht="12.75">
      <c r="B1750" s="3"/>
    </row>
    <row r="1751" ht="12.75">
      <c r="B1751" s="3"/>
    </row>
    <row r="1752" ht="12.75">
      <c r="B1752" s="3"/>
    </row>
    <row r="1753" ht="12.75">
      <c r="B1753" s="3"/>
    </row>
    <row r="1754" ht="12.75">
      <c r="B1754" s="3"/>
    </row>
    <row r="1755" ht="12.75">
      <c r="B1755" s="3"/>
    </row>
    <row r="1756" ht="12.75">
      <c r="B1756" s="3"/>
    </row>
    <row r="1757" ht="12.75">
      <c r="B1757" s="3"/>
    </row>
    <row r="1758" ht="12.75">
      <c r="B1758" s="3"/>
    </row>
    <row r="1759" ht="12.75">
      <c r="B1759" s="3"/>
    </row>
    <row r="1760" ht="12.75">
      <c r="B1760" s="3"/>
    </row>
    <row r="1761" ht="12.75">
      <c r="B1761" s="3"/>
    </row>
    <row r="1762" ht="12.75">
      <c r="B1762" s="3"/>
    </row>
    <row r="1763" ht="12.75">
      <c r="B1763" s="3"/>
    </row>
    <row r="1764" ht="12.75">
      <c r="B1764" s="3"/>
    </row>
    <row r="1765" ht="12.75">
      <c r="B1765" s="3"/>
    </row>
    <row r="1766" ht="12.75">
      <c r="B1766" s="3"/>
    </row>
    <row r="1767" ht="12.75">
      <c r="B1767" s="3"/>
    </row>
    <row r="1768" ht="12.75">
      <c r="B1768" s="3"/>
    </row>
    <row r="1769" ht="12.75">
      <c r="B1769" s="3"/>
    </row>
    <row r="1770" ht="12.75">
      <c r="B1770" s="3"/>
    </row>
    <row r="1771" ht="12.75">
      <c r="B1771" s="3"/>
    </row>
    <row r="1772" ht="12.75">
      <c r="B1772" s="3"/>
    </row>
    <row r="1773" ht="12.75">
      <c r="B1773" s="3"/>
    </row>
    <row r="1774" ht="12.75">
      <c r="B1774" s="3"/>
    </row>
    <row r="1775" ht="12.75">
      <c r="B1775" s="3"/>
    </row>
    <row r="1776" ht="12.75">
      <c r="B1776" s="3"/>
    </row>
    <row r="1777" ht="12.75">
      <c r="B1777" s="3"/>
    </row>
    <row r="1778" ht="12.75">
      <c r="B1778" s="3"/>
    </row>
    <row r="1779" ht="12.75">
      <c r="B1779" s="3"/>
    </row>
    <row r="1780" ht="12.75">
      <c r="B1780" s="3"/>
    </row>
    <row r="1781" ht="12.75">
      <c r="B1781" s="3"/>
    </row>
    <row r="1782" ht="12.75">
      <c r="B1782" s="3"/>
    </row>
    <row r="1783" ht="12.75">
      <c r="B1783" s="3"/>
    </row>
    <row r="1784" ht="12.75">
      <c r="B1784" s="3"/>
    </row>
    <row r="1785" ht="12.75">
      <c r="B1785" s="3"/>
    </row>
    <row r="1786" ht="12.75">
      <c r="B1786" s="3"/>
    </row>
    <row r="1787" ht="12.75">
      <c r="B1787" s="3"/>
    </row>
    <row r="1788" ht="12.75">
      <c r="B1788" s="3"/>
    </row>
    <row r="1789" ht="12.75">
      <c r="B1789" s="3"/>
    </row>
    <row r="1790" ht="12.75">
      <c r="B1790" s="3"/>
    </row>
    <row r="1791" ht="12.75">
      <c r="B1791" s="3"/>
    </row>
    <row r="1792" ht="12.75">
      <c r="B1792" s="3"/>
    </row>
    <row r="1793" ht="12.75">
      <c r="B1793" s="3"/>
    </row>
    <row r="1794" ht="12.75">
      <c r="B1794" s="3"/>
    </row>
    <row r="1795" ht="12.75">
      <c r="B1795" s="3"/>
    </row>
    <row r="1796" ht="12.75">
      <c r="B1796" s="3"/>
    </row>
    <row r="1797" ht="12.75">
      <c r="B1797" s="3"/>
    </row>
    <row r="1798" ht="12.75">
      <c r="B1798" s="3"/>
    </row>
    <row r="1799" ht="12.75">
      <c r="B1799" s="3"/>
    </row>
    <row r="1800" ht="12.75">
      <c r="B1800" s="3"/>
    </row>
    <row r="1801" ht="12.75">
      <c r="B1801" s="3"/>
    </row>
    <row r="1802" ht="12.75">
      <c r="B1802" s="3"/>
    </row>
    <row r="1803" ht="12.75">
      <c r="B1803" s="3"/>
    </row>
    <row r="1804" ht="12.75">
      <c r="B1804" s="3"/>
    </row>
    <row r="1805" ht="12.75">
      <c r="B1805" s="3"/>
    </row>
    <row r="1806" ht="12.75">
      <c r="B1806" s="3"/>
    </row>
    <row r="1807" ht="12.75">
      <c r="B1807" s="3"/>
    </row>
    <row r="1808" ht="12.75">
      <c r="B1808" s="3"/>
    </row>
    <row r="1809" ht="12.75">
      <c r="B1809" s="3"/>
    </row>
    <row r="1810" ht="12.75">
      <c r="B1810" s="3"/>
    </row>
    <row r="1811" ht="12.75">
      <c r="B1811" s="3"/>
    </row>
    <row r="1812" ht="12.75">
      <c r="B1812" s="3"/>
    </row>
    <row r="1813" ht="12.75">
      <c r="B1813" s="3"/>
    </row>
    <row r="1814" ht="12.75">
      <c r="B1814" s="3"/>
    </row>
    <row r="1815" ht="12.75">
      <c r="B1815" s="3"/>
    </row>
    <row r="1816" ht="12.75">
      <c r="B1816" s="3"/>
    </row>
    <row r="1817" ht="12.75">
      <c r="B1817" s="3"/>
    </row>
    <row r="1818" ht="12.75">
      <c r="B1818" s="3"/>
    </row>
    <row r="1819" ht="12.75">
      <c r="B1819" s="3"/>
    </row>
    <row r="1820" ht="12.75">
      <c r="B1820" s="3"/>
    </row>
    <row r="1821" ht="12.75">
      <c r="B1821" s="3"/>
    </row>
    <row r="1822" ht="12.75">
      <c r="B1822" s="3"/>
    </row>
    <row r="1823" ht="12.75">
      <c r="B1823" s="3"/>
    </row>
    <row r="1824" ht="12.75">
      <c r="B1824" s="3"/>
    </row>
    <row r="1825" ht="12.75">
      <c r="B1825" s="3"/>
    </row>
    <row r="1826" ht="12.75">
      <c r="B1826" s="3"/>
    </row>
    <row r="1827" ht="12.75">
      <c r="B1827" s="3"/>
    </row>
    <row r="1828" ht="12.75">
      <c r="B1828" s="3"/>
    </row>
    <row r="1829" ht="12.75">
      <c r="B1829" s="3"/>
    </row>
    <row r="1830" ht="12.75">
      <c r="B1830" s="3"/>
    </row>
    <row r="1831" ht="12.75">
      <c r="B1831" s="3"/>
    </row>
    <row r="1832" ht="12.75">
      <c r="B1832" s="3"/>
    </row>
    <row r="1833" ht="12.75">
      <c r="B1833" s="3"/>
    </row>
    <row r="1834" ht="12.75">
      <c r="B1834" s="3"/>
    </row>
    <row r="1835" ht="12.75">
      <c r="B1835" s="3"/>
    </row>
    <row r="1836" ht="12.75">
      <c r="B1836" s="3"/>
    </row>
    <row r="1837" ht="12.75">
      <c r="B1837" s="3"/>
    </row>
    <row r="1838" ht="12.75">
      <c r="B1838" s="3"/>
    </row>
    <row r="1839" ht="12.75">
      <c r="B1839" s="3"/>
    </row>
    <row r="1840" ht="12.75">
      <c r="B1840" s="3"/>
    </row>
    <row r="1841" ht="12.75">
      <c r="B1841" s="3"/>
    </row>
    <row r="1842" ht="12.75">
      <c r="B1842" s="3"/>
    </row>
    <row r="1843" ht="12.75">
      <c r="B1843" s="3"/>
    </row>
    <row r="1844" ht="12.75">
      <c r="B1844" s="3"/>
    </row>
    <row r="1845" ht="12.75">
      <c r="B1845" s="3"/>
    </row>
    <row r="1846" ht="12.75">
      <c r="B1846" s="3"/>
    </row>
    <row r="1847" ht="12.75">
      <c r="B1847" s="3"/>
    </row>
    <row r="1848" ht="12.75">
      <c r="B1848" s="3"/>
    </row>
    <row r="1849" ht="12.75">
      <c r="B1849" s="3"/>
    </row>
    <row r="1850" ht="12.75">
      <c r="B1850" s="3"/>
    </row>
    <row r="1851" ht="12.75">
      <c r="B1851" s="3"/>
    </row>
    <row r="1852" ht="12.75">
      <c r="B1852" s="3"/>
    </row>
    <row r="1853" ht="12.75">
      <c r="B1853" s="3"/>
    </row>
    <row r="1854" ht="12.75">
      <c r="B1854" s="3"/>
    </row>
    <row r="1855" ht="12.75">
      <c r="B1855" s="3"/>
    </row>
    <row r="1856" ht="12.75">
      <c r="B1856" s="3"/>
    </row>
    <row r="1857" ht="12.75">
      <c r="B1857" s="3"/>
    </row>
    <row r="1858" ht="12.75">
      <c r="B1858" s="3"/>
    </row>
    <row r="1859" ht="12.75">
      <c r="B1859" s="3"/>
    </row>
    <row r="1860" ht="12.75">
      <c r="B1860" s="3"/>
    </row>
    <row r="1861" ht="12.75">
      <c r="B1861" s="3"/>
    </row>
    <row r="1862" ht="12.75">
      <c r="B1862" s="3"/>
    </row>
    <row r="1863" ht="12.75">
      <c r="B1863" s="3"/>
    </row>
    <row r="1864" ht="12.75">
      <c r="B1864" s="3"/>
    </row>
    <row r="1865" ht="12.75">
      <c r="B1865" s="3"/>
    </row>
    <row r="1866" ht="12.75">
      <c r="B1866" s="3"/>
    </row>
    <row r="1867" ht="12.75">
      <c r="B1867" s="3"/>
    </row>
    <row r="1868" ht="12.75">
      <c r="B1868" s="3"/>
    </row>
    <row r="1869" ht="12.75">
      <c r="B1869" s="3"/>
    </row>
    <row r="1870" ht="12.75">
      <c r="B1870" s="3"/>
    </row>
    <row r="1871" ht="12.75">
      <c r="B1871" s="3"/>
    </row>
    <row r="1872" ht="12.75">
      <c r="B1872" s="3"/>
    </row>
    <row r="1873" ht="12.75">
      <c r="B1873" s="3"/>
    </row>
    <row r="1874" ht="12.75">
      <c r="B1874" s="3"/>
    </row>
    <row r="1875" ht="12.75">
      <c r="B1875" s="3"/>
    </row>
    <row r="1876" ht="12.75">
      <c r="B1876" s="3"/>
    </row>
    <row r="1877" ht="12.75">
      <c r="B1877" s="3"/>
    </row>
    <row r="1878" ht="12.75">
      <c r="B1878" s="3"/>
    </row>
    <row r="1879" ht="12.75">
      <c r="B1879" s="3"/>
    </row>
    <row r="1880" ht="12.75">
      <c r="B1880" s="3"/>
    </row>
    <row r="1881" ht="12.75">
      <c r="B1881" s="3"/>
    </row>
    <row r="1882" ht="12.75">
      <c r="B1882" s="3"/>
    </row>
    <row r="1883" ht="12.75">
      <c r="B1883" s="3"/>
    </row>
    <row r="1884" ht="12.75">
      <c r="B1884" s="3"/>
    </row>
    <row r="1885" ht="12.75">
      <c r="B1885" s="3"/>
    </row>
    <row r="1886" ht="12.75">
      <c r="B1886" s="3"/>
    </row>
    <row r="1887" ht="12.75">
      <c r="B1887" s="3"/>
    </row>
    <row r="1888" ht="12.75">
      <c r="B1888" s="3"/>
    </row>
    <row r="1889" ht="12.75">
      <c r="B1889" s="3"/>
    </row>
    <row r="1890" ht="12.75">
      <c r="B1890" s="3"/>
    </row>
    <row r="1891" ht="12.75">
      <c r="B1891" s="3"/>
    </row>
    <row r="1892" ht="12.75">
      <c r="B1892" s="3"/>
    </row>
    <row r="1893" ht="12.75">
      <c r="B1893" s="3"/>
    </row>
    <row r="1894" ht="12.75">
      <c r="B1894" s="3"/>
    </row>
    <row r="1895" ht="12.75">
      <c r="B1895" s="3"/>
    </row>
    <row r="1896" ht="12.75">
      <c r="B1896" s="3"/>
    </row>
    <row r="1897" ht="12.75">
      <c r="B1897" s="3"/>
    </row>
    <row r="1898" ht="12.75">
      <c r="B1898" s="3"/>
    </row>
    <row r="1899" ht="12.75">
      <c r="B1899" s="3"/>
    </row>
    <row r="1900" ht="12.75">
      <c r="B1900" s="3"/>
    </row>
    <row r="1901" ht="12.75">
      <c r="B1901" s="3"/>
    </row>
    <row r="1902" ht="12.75">
      <c r="B1902" s="3"/>
    </row>
    <row r="1903" ht="12.75">
      <c r="B1903" s="3"/>
    </row>
    <row r="1904" ht="12.75">
      <c r="B1904" s="3"/>
    </row>
    <row r="1905" ht="12.75">
      <c r="B1905" s="3"/>
    </row>
    <row r="1906" ht="12.75">
      <c r="B1906" s="3"/>
    </row>
    <row r="1907" ht="12.75">
      <c r="B1907" s="3"/>
    </row>
    <row r="1908" ht="12.75">
      <c r="B1908" s="3"/>
    </row>
    <row r="1909" ht="12.75">
      <c r="B1909" s="3"/>
    </row>
    <row r="1910" ht="12.75">
      <c r="B1910" s="3"/>
    </row>
    <row r="1911" ht="12.75">
      <c r="B1911" s="3"/>
    </row>
    <row r="1912" ht="12.75">
      <c r="B1912" s="3"/>
    </row>
    <row r="1913" ht="12.75">
      <c r="B1913" s="3"/>
    </row>
    <row r="1914" ht="12.75">
      <c r="B1914" s="3"/>
    </row>
    <row r="1915" ht="12.75">
      <c r="B1915" s="3"/>
    </row>
    <row r="1916" ht="12.75">
      <c r="B1916" s="3"/>
    </row>
    <row r="1917" ht="12.75">
      <c r="B1917" s="3"/>
    </row>
    <row r="1918" ht="12.75">
      <c r="B1918" s="3"/>
    </row>
    <row r="1919" ht="12.75">
      <c r="B1919" s="3"/>
    </row>
    <row r="1920" ht="12.75">
      <c r="B1920" s="3"/>
    </row>
    <row r="1921" ht="12.75">
      <c r="B1921" s="3"/>
    </row>
    <row r="1922" ht="12.75">
      <c r="B1922" s="3"/>
    </row>
    <row r="1923" ht="12.75">
      <c r="B1923" s="3"/>
    </row>
    <row r="1924" ht="12.75">
      <c r="B1924" s="3"/>
    </row>
    <row r="1925" ht="12.75">
      <c r="B1925" s="3"/>
    </row>
    <row r="1926" ht="12.75">
      <c r="B1926" s="3"/>
    </row>
    <row r="1927" ht="12.75">
      <c r="B1927" s="3"/>
    </row>
    <row r="1928" ht="12.75">
      <c r="B1928" s="3"/>
    </row>
    <row r="1929" ht="12.75">
      <c r="B1929" s="3"/>
    </row>
    <row r="1930" ht="12.75">
      <c r="B1930" s="3"/>
    </row>
    <row r="1931" ht="12.75">
      <c r="B1931" s="3"/>
    </row>
    <row r="1932" ht="12.75">
      <c r="B1932" s="3"/>
    </row>
    <row r="1933" ht="12.75">
      <c r="B1933" s="3"/>
    </row>
    <row r="1934" ht="12.75">
      <c r="B1934" s="3"/>
    </row>
    <row r="1935" ht="12.75">
      <c r="B1935" s="3"/>
    </row>
    <row r="1936" ht="12.75">
      <c r="B1936" s="3"/>
    </row>
    <row r="1937" ht="12.75">
      <c r="B1937" s="3"/>
    </row>
    <row r="1938" ht="12.75">
      <c r="B1938" s="3"/>
    </row>
    <row r="1939" ht="12.75">
      <c r="B1939" s="3"/>
    </row>
    <row r="1940" ht="12.75">
      <c r="B1940" s="3"/>
    </row>
    <row r="1941" ht="12.75">
      <c r="B1941" s="3"/>
    </row>
    <row r="1942" ht="12.75">
      <c r="B1942" s="3"/>
    </row>
    <row r="1943" ht="12.75">
      <c r="B1943" s="3"/>
    </row>
    <row r="1944" ht="12.75">
      <c r="B1944" s="3"/>
    </row>
    <row r="1945" ht="12.75">
      <c r="B1945" s="3"/>
    </row>
    <row r="1946" ht="12.75">
      <c r="B1946" s="3"/>
    </row>
    <row r="1947" ht="12.75">
      <c r="B1947" s="3"/>
    </row>
    <row r="1948" ht="12.75">
      <c r="B1948" s="3"/>
    </row>
    <row r="1949" ht="12.75">
      <c r="B1949" s="3"/>
    </row>
    <row r="1950" ht="12.75">
      <c r="B1950" s="3"/>
    </row>
    <row r="1951" ht="12.75">
      <c r="B1951" s="3"/>
    </row>
    <row r="1952" ht="12.75">
      <c r="B1952" s="3"/>
    </row>
    <row r="1953" ht="12.75">
      <c r="B1953" s="3"/>
    </row>
    <row r="1954" ht="12.75">
      <c r="B1954" s="3"/>
    </row>
    <row r="1955" ht="12.75">
      <c r="B1955" s="3"/>
    </row>
    <row r="1956" ht="12.75">
      <c r="B1956" s="3"/>
    </row>
    <row r="1957" ht="12.75">
      <c r="B1957" s="3"/>
    </row>
    <row r="1958" ht="12.75">
      <c r="B1958" s="3"/>
    </row>
    <row r="1959" ht="12.75">
      <c r="B1959" s="3"/>
    </row>
    <row r="1960" ht="12.75">
      <c r="B1960" s="3"/>
    </row>
    <row r="1961" ht="12.75">
      <c r="B1961" s="3"/>
    </row>
    <row r="1962" ht="12.75">
      <c r="B1962" s="3"/>
    </row>
    <row r="1963" ht="12.75">
      <c r="B1963" s="3"/>
    </row>
    <row r="1964" ht="12.75">
      <c r="B1964" s="3"/>
    </row>
    <row r="1965" ht="12.75">
      <c r="B1965" s="3"/>
    </row>
    <row r="1966" ht="12.75">
      <c r="B1966" s="3"/>
    </row>
    <row r="1967" ht="12.75">
      <c r="B1967" s="3"/>
    </row>
    <row r="1968" ht="12.75">
      <c r="B1968" s="3"/>
    </row>
    <row r="1969" ht="12.75">
      <c r="B1969" s="3"/>
    </row>
    <row r="1970" ht="12.75">
      <c r="B1970" s="3"/>
    </row>
    <row r="1971" ht="12.75">
      <c r="B1971" s="3"/>
    </row>
    <row r="1972" ht="12.75">
      <c r="B1972" s="3"/>
    </row>
    <row r="1973" ht="12.75">
      <c r="B1973" s="3"/>
    </row>
    <row r="1974" ht="12.75">
      <c r="B1974" s="3"/>
    </row>
    <row r="1975" ht="12.75">
      <c r="B1975" s="3"/>
    </row>
    <row r="1976" ht="12.75">
      <c r="B1976" s="3"/>
    </row>
    <row r="1977" ht="12.75">
      <c r="B1977" s="3"/>
    </row>
    <row r="1978" ht="12.75">
      <c r="B1978" s="3"/>
    </row>
    <row r="1979" ht="12.75">
      <c r="B1979" s="3"/>
    </row>
    <row r="1980" ht="12.75">
      <c r="B1980" s="3"/>
    </row>
    <row r="1981" ht="12.75">
      <c r="B1981" s="3"/>
    </row>
    <row r="1982" ht="12.75">
      <c r="B1982" s="3"/>
    </row>
    <row r="1983" ht="12.75">
      <c r="B1983" s="3"/>
    </row>
    <row r="1984" ht="12.75">
      <c r="B1984" s="3"/>
    </row>
    <row r="1985" ht="12.75">
      <c r="B1985" s="3"/>
    </row>
    <row r="1986" ht="12.75">
      <c r="B1986" s="3"/>
    </row>
    <row r="1987" ht="12.75">
      <c r="B1987" s="3"/>
    </row>
    <row r="1988" ht="12.75">
      <c r="B1988" s="3"/>
    </row>
    <row r="1989" ht="12.75">
      <c r="B1989" s="3"/>
    </row>
    <row r="1990" ht="12.75">
      <c r="B1990" s="3"/>
    </row>
    <row r="1991" ht="12.75">
      <c r="B1991" s="3"/>
    </row>
    <row r="1992" ht="12.75">
      <c r="B1992" s="3"/>
    </row>
    <row r="1993" ht="12.75">
      <c r="B1993" s="3"/>
    </row>
    <row r="1994" ht="12.75">
      <c r="B1994" s="3"/>
    </row>
    <row r="1995" ht="12.75">
      <c r="B1995" s="3"/>
    </row>
    <row r="1996" ht="12.75">
      <c r="B1996" s="3"/>
    </row>
    <row r="1997" ht="12.75">
      <c r="B1997" s="3"/>
    </row>
    <row r="1998" ht="12.75">
      <c r="B1998" s="3"/>
    </row>
    <row r="1999" ht="12.75">
      <c r="B1999" s="3"/>
    </row>
    <row r="2000" ht="12.75">
      <c r="B2000" s="3"/>
    </row>
    <row r="2001" ht="12.75">
      <c r="B2001" s="3"/>
    </row>
    <row r="2002" ht="12.75">
      <c r="B2002" s="3"/>
    </row>
    <row r="2003" ht="12.75">
      <c r="B2003" s="3"/>
    </row>
    <row r="2004" ht="12.75">
      <c r="B2004" s="3"/>
    </row>
    <row r="2005" ht="12.75">
      <c r="B2005" s="3"/>
    </row>
    <row r="2006" ht="12.75">
      <c r="B2006" s="3"/>
    </row>
    <row r="2007" ht="12.75">
      <c r="B2007" s="3"/>
    </row>
    <row r="2008" ht="12.75">
      <c r="B2008" s="3"/>
    </row>
    <row r="2009" ht="12.75">
      <c r="B2009" s="3"/>
    </row>
    <row r="2010" ht="12.75">
      <c r="B2010" s="3"/>
    </row>
    <row r="2011" ht="12.75">
      <c r="B2011" s="3"/>
    </row>
    <row r="2012" ht="12.75">
      <c r="B2012" s="3"/>
    </row>
    <row r="2013" ht="12.75">
      <c r="B2013" s="3"/>
    </row>
    <row r="2014" ht="12.75">
      <c r="B2014" s="3"/>
    </row>
    <row r="2015" ht="12.75">
      <c r="B2015" s="3"/>
    </row>
    <row r="2016" ht="12.75">
      <c r="B2016" s="3"/>
    </row>
    <row r="2017" ht="12.75">
      <c r="B2017" s="3"/>
    </row>
    <row r="2018" ht="12.75">
      <c r="B2018" s="3"/>
    </row>
    <row r="2019" ht="12.75">
      <c r="B2019" s="3"/>
    </row>
    <row r="2020" ht="12.75">
      <c r="B2020" s="3"/>
    </row>
    <row r="2021" ht="12.75">
      <c r="B2021" s="3"/>
    </row>
    <row r="2022" ht="12.75">
      <c r="B2022" s="3"/>
    </row>
    <row r="2023" ht="12.75">
      <c r="B2023" s="3"/>
    </row>
    <row r="2024" ht="12.75">
      <c r="B2024" s="3"/>
    </row>
    <row r="2025" ht="12.75">
      <c r="B2025" s="3"/>
    </row>
    <row r="2026" ht="12.75">
      <c r="B2026" s="3"/>
    </row>
    <row r="2027" ht="12.75">
      <c r="B2027" s="3"/>
    </row>
    <row r="2028" ht="12.75">
      <c r="B2028" s="3"/>
    </row>
    <row r="2029" ht="12.75">
      <c r="B2029" s="3"/>
    </row>
    <row r="2030" ht="12.75">
      <c r="B2030" s="3"/>
    </row>
    <row r="2031" ht="12.75">
      <c r="B2031" s="3"/>
    </row>
    <row r="2032" ht="12.75">
      <c r="B2032" s="3"/>
    </row>
    <row r="2033" ht="12.75">
      <c r="B2033" s="3"/>
    </row>
    <row r="2034" ht="12.75">
      <c r="B2034" s="3"/>
    </row>
    <row r="2035" ht="12.75">
      <c r="B2035" s="3"/>
    </row>
    <row r="2036" ht="12.75">
      <c r="B2036" s="3"/>
    </row>
    <row r="2037" ht="12.75">
      <c r="B2037" s="3"/>
    </row>
    <row r="2038" ht="12.75">
      <c r="B2038" s="3"/>
    </row>
    <row r="2039" ht="12.75">
      <c r="B2039" s="3"/>
    </row>
    <row r="2040" ht="12.75">
      <c r="B2040" s="3"/>
    </row>
    <row r="2041" ht="12.75">
      <c r="B2041" s="3"/>
    </row>
    <row r="2042" ht="12.75">
      <c r="B2042" s="3"/>
    </row>
    <row r="2043" ht="12.75">
      <c r="B2043" s="3"/>
    </row>
    <row r="2044" ht="12.75">
      <c r="B2044" s="3"/>
    </row>
    <row r="2045" ht="12.75">
      <c r="B2045" s="3"/>
    </row>
    <row r="2046" ht="12.75">
      <c r="B2046" s="3"/>
    </row>
    <row r="2047" ht="12.75">
      <c r="B2047" s="3"/>
    </row>
    <row r="2048" ht="12.75">
      <c r="B2048" s="3"/>
    </row>
    <row r="2049" ht="12.75">
      <c r="B2049" s="3"/>
    </row>
    <row r="2050" ht="12.75">
      <c r="B2050" s="3"/>
    </row>
    <row r="2051" ht="12.75">
      <c r="B2051" s="3"/>
    </row>
    <row r="2052" ht="12.75">
      <c r="B2052" s="3"/>
    </row>
    <row r="2053" ht="12.75">
      <c r="B2053" s="3"/>
    </row>
    <row r="2054" ht="12.75">
      <c r="B2054" s="3"/>
    </row>
    <row r="2055" ht="12.75">
      <c r="B2055" s="3"/>
    </row>
    <row r="2056" ht="12.75">
      <c r="B2056" s="3"/>
    </row>
    <row r="2057" ht="12.75">
      <c r="B2057" s="3"/>
    </row>
    <row r="2058" ht="12.75">
      <c r="B2058" s="3"/>
    </row>
    <row r="2059" ht="12.75">
      <c r="B2059" s="3"/>
    </row>
    <row r="2060" ht="12.75">
      <c r="B2060" s="3"/>
    </row>
    <row r="2061" ht="12.75">
      <c r="B2061" s="3"/>
    </row>
    <row r="2062" ht="12.75">
      <c r="B2062" s="3"/>
    </row>
    <row r="2063" ht="12.75">
      <c r="B2063" s="3"/>
    </row>
    <row r="2064" ht="12.75">
      <c r="B2064" s="3"/>
    </row>
    <row r="2065" ht="12.75">
      <c r="B2065" s="3"/>
    </row>
    <row r="2066" ht="12.75">
      <c r="B2066" s="3"/>
    </row>
    <row r="2067" ht="12.75">
      <c r="B2067" s="3"/>
    </row>
    <row r="2068" ht="12.75">
      <c r="B2068" s="3"/>
    </row>
    <row r="2069" ht="12.75">
      <c r="B2069" s="3"/>
    </row>
    <row r="2070" ht="12.75">
      <c r="B2070" s="3"/>
    </row>
    <row r="2071" ht="12.75">
      <c r="B2071" s="3"/>
    </row>
    <row r="2072" ht="12.75">
      <c r="B2072" s="3"/>
    </row>
    <row r="2073" ht="12.75">
      <c r="B2073" s="3"/>
    </row>
    <row r="2074" ht="12.75">
      <c r="B2074" s="3"/>
    </row>
    <row r="2075" ht="12.75">
      <c r="B2075" s="3"/>
    </row>
    <row r="2076" ht="12.75">
      <c r="B2076" s="3"/>
    </row>
    <row r="2077" ht="12.75">
      <c r="B2077" s="3"/>
    </row>
    <row r="2078" ht="12.75">
      <c r="B2078" s="3"/>
    </row>
    <row r="2079" ht="12.75">
      <c r="B2079" s="3"/>
    </row>
    <row r="2080" ht="12.75">
      <c r="B2080" s="3"/>
    </row>
    <row r="2081" ht="12.75">
      <c r="B2081" s="3"/>
    </row>
    <row r="2082" ht="12.75">
      <c r="B2082" s="3"/>
    </row>
    <row r="2083" ht="12.75">
      <c r="B2083" s="3"/>
    </row>
    <row r="2084" ht="12.75">
      <c r="B2084" s="3"/>
    </row>
    <row r="2085" ht="12.75">
      <c r="B2085" s="3"/>
    </row>
    <row r="2086" ht="12.75">
      <c r="B2086" s="3"/>
    </row>
    <row r="2087" ht="12.75">
      <c r="B2087" s="3"/>
    </row>
    <row r="2088" ht="12.75">
      <c r="B2088" s="3"/>
    </row>
    <row r="2089" ht="12.75">
      <c r="B2089" s="3"/>
    </row>
    <row r="2090" ht="12.75">
      <c r="B2090" s="3"/>
    </row>
    <row r="2091" ht="12.75">
      <c r="B2091" s="3"/>
    </row>
    <row r="2092" ht="12.75">
      <c r="B2092" s="3"/>
    </row>
    <row r="2093" ht="12.75">
      <c r="B2093" s="3"/>
    </row>
    <row r="2094" ht="12.75">
      <c r="B2094" s="3"/>
    </row>
    <row r="2095" ht="12.75">
      <c r="B2095" s="3"/>
    </row>
    <row r="2096" ht="12.75">
      <c r="B2096" s="3"/>
    </row>
    <row r="2097" ht="12.75">
      <c r="B2097" s="3"/>
    </row>
    <row r="2098" ht="12.75">
      <c r="B2098" s="3"/>
    </row>
    <row r="2099" ht="12.75">
      <c r="B2099" s="3"/>
    </row>
    <row r="2100" ht="12.75">
      <c r="B2100" s="3"/>
    </row>
    <row r="2101" ht="12.75">
      <c r="B2101" s="3"/>
    </row>
    <row r="2102" ht="12.75">
      <c r="B2102" s="3"/>
    </row>
    <row r="2103" ht="12.75">
      <c r="B2103" s="3"/>
    </row>
    <row r="2104" ht="12.75">
      <c r="B2104" s="3"/>
    </row>
    <row r="2105" ht="12.75">
      <c r="B2105" s="3"/>
    </row>
    <row r="2106" ht="12.75">
      <c r="B2106" s="3"/>
    </row>
    <row r="2107" ht="12.75">
      <c r="B2107" s="3"/>
    </row>
    <row r="2108" ht="12.75">
      <c r="B2108" s="3"/>
    </row>
    <row r="2109" ht="12.75">
      <c r="B2109" s="3"/>
    </row>
    <row r="2110" ht="12.75">
      <c r="B2110" s="3"/>
    </row>
    <row r="2111" ht="12.75">
      <c r="B2111" s="3"/>
    </row>
    <row r="2112" ht="12.75">
      <c r="B2112" s="3"/>
    </row>
    <row r="2113" ht="12.75">
      <c r="B2113" s="3"/>
    </row>
    <row r="2114" ht="12.75">
      <c r="B2114" s="3"/>
    </row>
    <row r="2115" ht="12.75">
      <c r="B2115" s="3"/>
    </row>
    <row r="2116" ht="12.75">
      <c r="B2116" s="3"/>
    </row>
    <row r="2117" ht="12.75">
      <c r="B2117" s="3"/>
    </row>
    <row r="2118" ht="12.75">
      <c r="B2118" s="3"/>
    </row>
    <row r="2119" ht="12.75">
      <c r="B2119" s="3"/>
    </row>
    <row r="2120" ht="12.75">
      <c r="B2120" s="3"/>
    </row>
    <row r="2121" ht="12.75">
      <c r="B2121" s="3"/>
    </row>
    <row r="2122" ht="12.75">
      <c r="B2122" s="3"/>
    </row>
    <row r="2123" ht="12.75">
      <c r="B2123" s="3"/>
    </row>
    <row r="2124" ht="12.75">
      <c r="B2124" s="3"/>
    </row>
    <row r="2125" ht="12.75">
      <c r="B2125" s="3"/>
    </row>
    <row r="2126" ht="12.75">
      <c r="B2126" s="3"/>
    </row>
    <row r="2127" ht="12.75">
      <c r="B2127" s="3"/>
    </row>
    <row r="2128" ht="12.75">
      <c r="B2128" s="3"/>
    </row>
    <row r="2129" ht="12.75">
      <c r="B2129" s="3"/>
    </row>
    <row r="2130" ht="12.75">
      <c r="B2130" s="3"/>
    </row>
    <row r="2131" ht="12.75">
      <c r="B2131" s="3"/>
    </row>
    <row r="2132" ht="12.75">
      <c r="B2132" s="3"/>
    </row>
    <row r="2133" ht="12.75">
      <c r="B2133" s="3"/>
    </row>
    <row r="2134" ht="12.75">
      <c r="B2134" s="3"/>
    </row>
    <row r="2135" ht="12.75">
      <c r="B2135" s="3"/>
    </row>
    <row r="2136" ht="12.75">
      <c r="B2136" s="3"/>
    </row>
    <row r="2137" ht="12.75">
      <c r="B2137" s="3"/>
    </row>
    <row r="2138" ht="12.75">
      <c r="B2138" s="3"/>
    </row>
    <row r="2139" ht="12.75">
      <c r="B2139" s="3"/>
    </row>
    <row r="2140" ht="12.75">
      <c r="B2140" s="3"/>
    </row>
    <row r="2141" ht="12.75">
      <c r="B2141" s="3"/>
    </row>
    <row r="2142" ht="12.75">
      <c r="B2142" s="3"/>
    </row>
    <row r="2143" ht="12.75">
      <c r="B2143" s="3"/>
    </row>
    <row r="2144" ht="12.75">
      <c r="B2144" s="3"/>
    </row>
    <row r="2145" ht="12.75">
      <c r="B2145" s="3"/>
    </row>
    <row r="2146" ht="12.75">
      <c r="B2146" s="3"/>
    </row>
    <row r="2147" ht="12.75">
      <c r="B2147" s="3"/>
    </row>
    <row r="2148" ht="12.75">
      <c r="B2148" s="3"/>
    </row>
    <row r="2149" ht="12.75">
      <c r="B2149" s="3"/>
    </row>
    <row r="2150" ht="12.75">
      <c r="B2150" s="3"/>
    </row>
    <row r="2151" ht="12.75">
      <c r="B2151" s="3"/>
    </row>
    <row r="2152" ht="12.75">
      <c r="B2152" s="3"/>
    </row>
    <row r="2153" ht="12.75">
      <c r="B2153" s="3"/>
    </row>
    <row r="2154" ht="12.75">
      <c r="B2154" s="3"/>
    </row>
    <row r="2155" ht="12.75">
      <c r="B2155" s="3"/>
    </row>
    <row r="2156" ht="12.75">
      <c r="B2156" s="3"/>
    </row>
    <row r="2157" ht="12.75">
      <c r="B2157" s="3"/>
    </row>
    <row r="2158" ht="12.75">
      <c r="B2158" s="3"/>
    </row>
    <row r="2159" ht="12.75">
      <c r="B2159" s="3"/>
    </row>
    <row r="2160" ht="12.75">
      <c r="B2160" s="3"/>
    </row>
    <row r="2161" ht="12.75">
      <c r="B2161" s="3"/>
    </row>
    <row r="2162" ht="12.75">
      <c r="B2162" s="3"/>
    </row>
    <row r="2163" ht="12.75">
      <c r="B2163" s="3"/>
    </row>
    <row r="2164" ht="12.75">
      <c r="B2164" s="3"/>
    </row>
    <row r="2165" ht="12.75">
      <c r="B2165" s="3"/>
    </row>
    <row r="2166" ht="12.75">
      <c r="B2166" s="3"/>
    </row>
    <row r="2167" ht="12.75">
      <c r="B2167" s="3"/>
    </row>
    <row r="2168" ht="12.75">
      <c r="B2168" s="3"/>
    </row>
    <row r="2169" ht="12.75">
      <c r="B2169" s="3"/>
    </row>
    <row r="2170" ht="12.75">
      <c r="B2170" s="3"/>
    </row>
    <row r="2171" ht="12.75">
      <c r="B2171" s="3"/>
    </row>
    <row r="2172" ht="12.75">
      <c r="B2172" s="3"/>
    </row>
    <row r="2173" ht="12.75">
      <c r="B2173" s="3"/>
    </row>
    <row r="2174" ht="12.75">
      <c r="B2174" s="3"/>
    </row>
    <row r="2175" ht="12.75">
      <c r="B2175" s="3"/>
    </row>
    <row r="2176" ht="12.75">
      <c r="B2176" s="3"/>
    </row>
    <row r="2177" ht="12.75">
      <c r="B2177" s="3"/>
    </row>
    <row r="2178" ht="12.75">
      <c r="B2178" s="3"/>
    </row>
    <row r="2179" ht="12.75">
      <c r="B2179" s="3"/>
    </row>
    <row r="2180" ht="12.75">
      <c r="B2180" s="3"/>
    </row>
    <row r="2181" ht="12.75">
      <c r="B2181" s="3"/>
    </row>
    <row r="2182" ht="12.75">
      <c r="B2182" s="3"/>
    </row>
    <row r="2183" ht="12.75">
      <c r="B2183" s="3"/>
    </row>
    <row r="2184" ht="12.75">
      <c r="B2184" s="3"/>
    </row>
    <row r="2185" ht="12.75">
      <c r="B2185" s="3"/>
    </row>
    <row r="2186" ht="12.75">
      <c r="B2186" s="3"/>
    </row>
    <row r="2187" ht="12.75">
      <c r="B2187" s="3"/>
    </row>
    <row r="2188" ht="12.75">
      <c r="B2188" s="3"/>
    </row>
    <row r="2189" ht="12.75">
      <c r="B2189" s="3"/>
    </row>
    <row r="2190" ht="12.75">
      <c r="B2190" s="3"/>
    </row>
    <row r="2191" ht="12.75">
      <c r="B2191" s="3"/>
    </row>
    <row r="2192" ht="12.75">
      <c r="B2192" s="3"/>
    </row>
    <row r="2193" ht="12.75">
      <c r="B2193" s="3"/>
    </row>
    <row r="2194" ht="12.75">
      <c r="B2194" s="3"/>
    </row>
    <row r="2195" ht="12.75">
      <c r="B2195" s="3"/>
    </row>
    <row r="2196" ht="12.75">
      <c r="B2196" s="3"/>
    </row>
    <row r="2197" ht="12.75">
      <c r="B2197" s="3"/>
    </row>
    <row r="2198" ht="12.75">
      <c r="B2198" s="3"/>
    </row>
    <row r="2199" ht="12.75">
      <c r="B2199" s="3"/>
    </row>
    <row r="2200" ht="12.75">
      <c r="B2200" s="3"/>
    </row>
    <row r="2201" ht="12.75">
      <c r="B2201" s="3"/>
    </row>
    <row r="2202" ht="12.75">
      <c r="B2202" s="3"/>
    </row>
    <row r="2203" ht="12.75">
      <c r="B2203" s="3"/>
    </row>
    <row r="2204" ht="12.75">
      <c r="B2204" s="3"/>
    </row>
    <row r="2205" ht="12.75">
      <c r="B2205" s="3"/>
    </row>
    <row r="2206" ht="12.75">
      <c r="B2206" s="3"/>
    </row>
    <row r="2207" ht="12.75">
      <c r="B2207" s="3"/>
    </row>
    <row r="2208" ht="12.75">
      <c r="B2208" s="3"/>
    </row>
    <row r="2209" ht="12.75">
      <c r="B2209" s="3"/>
    </row>
    <row r="2210" ht="12.75">
      <c r="B2210" s="3"/>
    </row>
    <row r="2211" ht="12.75">
      <c r="B2211" s="3"/>
    </row>
    <row r="2212" ht="12.75">
      <c r="B2212" s="3"/>
    </row>
    <row r="2213" ht="12.75">
      <c r="B2213" s="3"/>
    </row>
    <row r="2214" ht="12.75">
      <c r="B2214" s="3"/>
    </row>
    <row r="2215" ht="12.75">
      <c r="B2215" s="3"/>
    </row>
    <row r="2216" ht="12.75">
      <c r="B2216" s="3"/>
    </row>
    <row r="2217" ht="12.75">
      <c r="B2217" s="3"/>
    </row>
    <row r="2218" ht="12.75">
      <c r="B2218" s="3"/>
    </row>
    <row r="2219" ht="12.75">
      <c r="B2219" s="3"/>
    </row>
    <row r="2220" ht="12.75">
      <c r="B2220" s="3"/>
    </row>
    <row r="2221" ht="12.75">
      <c r="B2221" s="3"/>
    </row>
    <row r="2222" ht="12.75">
      <c r="B2222" s="3"/>
    </row>
    <row r="2223" ht="12.75">
      <c r="B2223" s="3"/>
    </row>
    <row r="2224" ht="12.75">
      <c r="B2224" s="3"/>
    </row>
    <row r="2225" ht="12.75">
      <c r="B2225" s="3"/>
    </row>
    <row r="2226" ht="12.75">
      <c r="B2226" s="3"/>
    </row>
    <row r="2227" ht="12.75">
      <c r="B2227" s="3"/>
    </row>
    <row r="2228" ht="12.75">
      <c r="B2228" s="3"/>
    </row>
    <row r="2229" ht="12.75">
      <c r="B2229" s="3"/>
    </row>
    <row r="2230" ht="12.75">
      <c r="B2230" s="3"/>
    </row>
    <row r="2231" ht="12.75">
      <c r="B2231" s="3"/>
    </row>
    <row r="2232" ht="12.75">
      <c r="B2232" s="3"/>
    </row>
    <row r="2233" ht="12.75">
      <c r="B2233" s="3"/>
    </row>
    <row r="2234" ht="12.75">
      <c r="B2234" s="3"/>
    </row>
    <row r="2235" ht="12.75">
      <c r="B2235" s="3"/>
    </row>
    <row r="2236" ht="12.75">
      <c r="B2236" s="3"/>
    </row>
    <row r="2237" ht="12.75">
      <c r="B2237" s="3"/>
    </row>
    <row r="2238" ht="12.75">
      <c r="B2238" s="3"/>
    </row>
    <row r="2239" ht="12.75">
      <c r="B2239" s="3"/>
    </row>
    <row r="2240" ht="12.75">
      <c r="B2240" s="3"/>
    </row>
    <row r="2241" ht="12.75">
      <c r="B2241" s="3"/>
    </row>
    <row r="2242" ht="12.75">
      <c r="B2242" s="3"/>
    </row>
    <row r="2243" ht="12.75">
      <c r="B2243" s="3"/>
    </row>
    <row r="2244" ht="12.75">
      <c r="B2244" s="3"/>
    </row>
    <row r="2245" ht="12.75">
      <c r="B2245" s="3"/>
    </row>
    <row r="2246" ht="12.75">
      <c r="B2246" s="3"/>
    </row>
    <row r="2247" ht="12.75">
      <c r="B2247" s="3"/>
    </row>
    <row r="2248" ht="12.75">
      <c r="B2248" s="3"/>
    </row>
    <row r="2249" ht="12.75">
      <c r="B2249" s="3"/>
    </row>
    <row r="2250" ht="12.75">
      <c r="B2250" s="3"/>
    </row>
    <row r="2251" ht="12.75">
      <c r="B2251" s="3"/>
    </row>
    <row r="2252" ht="12.75">
      <c r="B2252" s="3"/>
    </row>
    <row r="2253" ht="12.75">
      <c r="B2253" s="3"/>
    </row>
    <row r="2254" ht="12.75">
      <c r="B2254" s="3"/>
    </row>
    <row r="2255" ht="12.75">
      <c r="B2255" s="3"/>
    </row>
    <row r="2256" ht="12.75">
      <c r="B2256" s="3"/>
    </row>
    <row r="2257" ht="12.75">
      <c r="B2257" s="3"/>
    </row>
    <row r="2258" ht="12.75">
      <c r="B2258" s="3"/>
    </row>
    <row r="2259" ht="12.75">
      <c r="B2259" s="3"/>
    </row>
    <row r="2260" ht="12.75">
      <c r="B2260" s="3"/>
    </row>
    <row r="2261" ht="12.75">
      <c r="B2261" s="3"/>
    </row>
    <row r="2262" ht="12.75">
      <c r="B2262" s="3"/>
    </row>
    <row r="2263" ht="12.75">
      <c r="B2263" s="3"/>
    </row>
    <row r="2264" ht="12.75">
      <c r="B2264" s="3"/>
    </row>
    <row r="2265" ht="12.75">
      <c r="B2265" s="3"/>
    </row>
    <row r="2266" ht="12.75">
      <c r="B2266" s="3"/>
    </row>
    <row r="2267" ht="12.75">
      <c r="B2267" s="3"/>
    </row>
    <row r="2268" ht="12.75">
      <c r="B2268" s="3"/>
    </row>
    <row r="2269" ht="12.75">
      <c r="B2269" s="3"/>
    </row>
    <row r="2270" ht="12.75">
      <c r="B2270" s="3"/>
    </row>
    <row r="2271" ht="12.75">
      <c r="B2271" s="3"/>
    </row>
    <row r="2272" ht="12.75">
      <c r="B2272" s="3"/>
    </row>
    <row r="2273" ht="12.75">
      <c r="B2273" s="3"/>
    </row>
    <row r="2274" ht="12.75">
      <c r="B2274" s="3"/>
    </row>
    <row r="2275" ht="12.75">
      <c r="B2275" s="3"/>
    </row>
    <row r="2276" ht="12.75">
      <c r="B2276" s="3"/>
    </row>
    <row r="2277" ht="12.75">
      <c r="B2277" s="3"/>
    </row>
    <row r="2278" ht="12.75">
      <c r="B2278" s="3"/>
    </row>
    <row r="2279" ht="12.75">
      <c r="B2279" s="3"/>
    </row>
    <row r="2280" ht="12.75">
      <c r="B2280" s="3"/>
    </row>
    <row r="2281" ht="12.75">
      <c r="B2281" s="3"/>
    </row>
    <row r="2282" ht="12.75">
      <c r="B2282" s="3"/>
    </row>
    <row r="2283" ht="12.75">
      <c r="B2283" s="3"/>
    </row>
    <row r="2284" ht="12.75">
      <c r="B2284" s="3"/>
    </row>
    <row r="2285" ht="12.75">
      <c r="B2285" s="3"/>
    </row>
    <row r="2286" ht="12.75">
      <c r="B2286" s="3"/>
    </row>
    <row r="2287" ht="12.75">
      <c r="B2287" s="3"/>
    </row>
    <row r="2288" ht="12.75">
      <c r="B2288" s="3"/>
    </row>
    <row r="2289" ht="12.75">
      <c r="B2289" s="3"/>
    </row>
    <row r="2290" ht="12.75">
      <c r="B2290" s="3"/>
    </row>
    <row r="2291" ht="12.75">
      <c r="B2291" s="3"/>
    </row>
    <row r="2292" ht="12.75">
      <c r="B2292" s="3"/>
    </row>
    <row r="2293" ht="12.75">
      <c r="B2293" s="3"/>
    </row>
    <row r="2294" ht="12.75">
      <c r="B2294" s="3"/>
    </row>
    <row r="2295" ht="12.75">
      <c r="B2295" s="3"/>
    </row>
    <row r="2296" ht="12.75">
      <c r="B2296" s="3"/>
    </row>
    <row r="2297" ht="12.75">
      <c r="B2297" s="3"/>
    </row>
    <row r="2298" ht="12.75">
      <c r="B2298" s="3"/>
    </row>
    <row r="2299" ht="12.75">
      <c r="B2299" s="3"/>
    </row>
    <row r="2300" ht="12.75">
      <c r="B2300" s="3"/>
    </row>
    <row r="2301" ht="12.75">
      <c r="B2301" s="3"/>
    </row>
    <row r="2302" ht="12.75">
      <c r="B2302" s="3"/>
    </row>
    <row r="2303" ht="12.75">
      <c r="B2303" s="3"/>
    </row>
    <row r="2304" ht="12.75">
      <c r="B2304" s="3"/>
    </row>
    <row r="2305" ht="12.75">
      <c r="B2305" s="3"/>
    </row>
    <row r="2306" ht="12.75">
      <c r="B2306" s="3"/>
    </row>
    <row r="2307" ht="12.75">
      <c r="B2307" s="3"/>
    </row>
    <row r="2308" ht="12.75">
      <c r="B2308" s="3"/>
    </row>
    <row r="2309" ht="12.75">
      <c r="B2309" s="3"/>
    </row>
    <row r="2310" ht="12.75">
      <c r="B2310" s="3"/>
    </row>
    <row r="2311" ht="12.75">
      <c r="B2311" s="3"/>
    </row>
    <row r="2312" ht="12.75">
      <c r="B2312" s="3"/>
    </row>
    <row r="2313" ht="12.75">
      <c r="B2313" s="3"/>
    </row>
    <row r="2314" ht="12.75">
      <c r="B2314" s="3"/>
    </row>
    <row r="2315" ht="12.75">
      <c r="B2315" s="3"/>
    </row>
    <row r="2316" ht="12.75">
      <c r="B2316" s="3"/>
    </row>
    <row r="2317" ht="12.75">
      <c r="B2317" s="3"/>
    </row>
    <row r="2318" ht="12.75">
      <c r="B2318" s="3"/>
    </row>
    <row r="2319" ht="12.75">
      <c r="B2319" s="3"/>
    </row>
    <row r="2320" ht="12.75">
      <c r="B2320" s="3"/>
    </row>
    <row r="2321" ht="12.75">
      <c r="B2321" s="3"/>
    </row>
    <row r="2322" ht="12.75">
      <c r="B2322" s="3"/>
    </row>
    <row r="2323" ht="12.75">
      <c r="B2323" s="3"/>
    </row>
    <row r="2324" ht="12.75">
      <c r="B2324" s="3"/>
    </row>
    <row r="2325" ht="12.75">
      <c r="B2325" s="3"/>
    </row>
    <row r="2326" ht="12.75">
      <c r="B2326" s="3"/>
    </row>
    <row r="2327" ht="12.75">
      <c r="B2327" s="3"/>
    </row>
    <row r="2328" ht="12.75">
      <c r="B2328" s="3"/>
    </row>
    <row r="2329" ht="12.75">
      <c r="B2329" s="3"/>
    </row>
    <row r="2330" ht="12.75">
      <c r="B2330" s="3"/>
    </row>
    <row r="2331" ht="12.75">
      <c r="B2331" s="3"/>
    </row>
    <row r="2332" ht="12.75">
      <c r="B2332" s="3"/>
    </row>
    <row r="2333" ht="12.75">
      <c r="B2333" s="3"/>
    </row>
    <row r="2334" ht="12.75">
      <c r="B2334" s="3"/>
    </row>
    <row r="2335" ht="12.75">
      <c r="B2335" s="3"/>
    </row>
    <row r="2336" ht="12.75">
      <c r="B2336" s="3"/>
    </row>
    <row r="2337" ht="12.75">
      <c r="B2337" s="3"/>
    </row>
    <row r="2338" ht="12.75">
      <c r="B2338" s="3"/>
    </row>
    <row r="2339" ht="12.75">
      <c r="B2339" s="3"/>
    </row>
    <row r="2340" ht="12.75">
      <c r="B2340" s="3"/>
    </row>
    <row r="2341" ht="12.75">
      <c r="B2341" s="3"/>
    </row>
    <row r="2342" ht="12.75">
      <c r="B2342" s="3"/>
    </row>
    <row r="2343" ht="12.75">
      <c r="B2343" s="3"/>
    </row>
    <row r="2344" ht="12.75">
      <c r="B2344" s="3"/>
    </row>
    <row r="2345" ht="12.75">
      <c r="B2345" s="3"/>
    </row>
    <row r="2346" ht="12.75">
      <c r="B2346" s="3"/>
    </row>
    <row r="2347" ht="12.75">
      <c r="B2347" s="3"/>
    </row>
    <row r="2348" ht="12.75">
      <c r="B2348" s="3"/>
    </row>
    <row r="2349" ht="12.75">
      <c r="B2349" s="3"/>
    </row>
    <row r="2350" ht="12.75">
      <c r="B2350" s="3"/>
    </row>
    <row r="2351" ht="12.75">
      <c r="B2351" s="3"/>
    </row>
    <row r="2352" ht="12.75">
      <c r="B2352" s="3"/>
    </row>
    <row r="2353" ht="12.75">
      <c r="B2353" s="3"/>
    </row>
    <row r="2354" ht="12.75">
      <c r="B2354" s="3"/>
    </row>
    <row r="2355" ht="12.75">
      <c r="B2355" s="3"/>
    </row>
    <row r="2356" ht="12.75">
      <c r="B2356" s="3"/>
    </row>
    <row r="2357" ht="12.75">
      <c r="B2357" s="3"/>
    </row>
    <row r="2358" ht="12.75">
      <c r="B2358" s="3"/>
    </row>
    <row r="2359" ht="12.75">
      <c r="B2359" s="3"/>
    </row>
    <row r="2360" ht="12.75">
      <c r="B2360" s="3"/>
    </row>
    <row r="2361" ht="12.75">
      <c r="B2361" s="3"/>
    </row>
    <row r="2362" ht="12.75">
      <c r="B2362" s="3"/>
    </row>
    <row r="2363" ht="12.75">
      <c r="B2363" s="3"/>
    </row>
    <row r="2364" ht="12.75">
      <c r="B2364" s="3"/>
    </row>
    <row r="2365" ht="12.75">
      <c r="B2365" s="3"/>
    </row>
    <row r="2366" ht="12.75">
      <c r="B2366" s="3"/>
    </row>
    <row r="2367" ht="12.75">
      <c r="B2367" s="3"/>
    </row>
    <row r="2368" ht="12.75">
      <c r="B2368" s="3"/>
    </row>
    <row r="2369" ht="12.75">
      <c r="B2369" s="3"/>
    </row>
    <row r="2370" ht="12.75">
      <c r="B2370" s="3"/>
    </row>
    <row r="2371" ht="12.75">
      <c r="B2371" s="3"/>
    </row>
    <row r="2372" ht="12.75">
      <c r="B2372" s="3"/>
    </row>
    <row r="2373" ht="12.75">
      <c r="B2373" s="3"/>
    </row>
    <row r="2374" ht="12.75">
      <c r="B2374" s="3"/>
    </row>
    <row r="2375" ht="12.75">
      <c r="B2375" s="3"/>
    </row>
    <row r="2376" ht="12.75">
      <c r="B2376" s="3"/>
    </row>
    <row r="2377" ht="12.75">
      <c r="B2377" s="3"/>
    </row>
    <row r="2378" ht="12.75">
      <c r="B2378" s="3"/>
    </row>
    <row r="2379" ht="12.75">
      <c r="B2379" s="3"/>
    </row>
    <row r="2380" ht="12.75">
      <c r="B2380" s="3"/>
    </row>
    <row r="2381" ht="12.75">
      <c r="B2381" s="3"/>
    </row>
    <row r="2382" ht="12.75">
      <c r="B2382" s="3"/>
    </row>
    <row r="2383" ht="12.75">
      <c r="B2383" s="3"/>
    </row>
    <row r="2384" ht="12.75">
      <c r="B2384" s="3"/>
    </row>
    <row r="2385" ht="12.75">
      <c r="B2385" s="3"/>
    </row>
    <row r="2386" ht="12.75">
      <c r="B2386" s="3"/>
    </row>
    <row r="2387" ht="12.75">
      <c r="B2387" s="3"/>
    </row>
    <row r="2388" ht="12.75">
      <c r="B2388" s="3"/>
    </row>
    <row r="2389" ht="12.75">
      <c r="B2389" s="3"/>
    </row>
    <row r="2390" ht="12.75">
      <c r="B2390" s="3"/>
    </row>
    <row r="2391" ht="12.75">
      <c r="B2391" s="3"/>
    </row>
    <row r="2392" ht="12.75">
      <c r="B2392" s="3"/>
    </row>
    <row r="2393" ht="12.75">
      <c r="B2393" s="3"/>
    </row>
    <row r="2394" ht="12.75">
      <c r="B2394" s="3"/>
    </row>
    <row r="2395" ht="12.75">
      <c r="B2395" s="3"/>
    </row>
    <row r="2396" ht="12.75">
      <c r="B2396" s="3"/>
    </row>
    <row r="2397" ht="12.75">
      <c r="B2397" s="3"/>
    </row>
    <row r="2398" ht="12.75">
      <c r="B2398" s="3"/>
    </row>
    <row r="2399" ht="12.75">
      <c r="B2399" s="3"/>
    </row>
    <row r="2400" ht="12.75">
      <c r="B2400" s="3"/>
    </row>
    <row r="2401" ht="12.75">
      <c r="B2401" s="3"/>
    </row>
    <row r="2402" ht="12.75">
      <c r="B2402" s="3"/>
    </row>
    <row r="2403" ht="12.75">
      <c r="B2403" s="3"/>
    </row>
    <row r="2404" ht="12.75">
      <c r="B2404" s="3"/>
    </row>
    <row r="2405" ht="12.75">
      <c r="B2405" s="3"/>
    </row>
    <row r="2406" ht="12.75">
      <c r="B2406" s="3"/>
    </row>
    <row r="2407" ht="12.75">
      <c r="B2407" s="3"/>
    </row>
    <row r="2408" ht="12.75">
      <c r="B2408" s="3"/>
    </row>
    <row r="2409" ht="12.75">
      <c r="B2409" s="3"/>
    </row>
    <row r="2410" ht="12.75">
      <c r="B2410" s="3"/>
    </row>
    <row r="2411" ht="12.75">
      <c r="B2411" s="3"/>
    </row>
    <row r="2412" ht="12.75">
      <c r="B2412" s="3"/>
    </row>
    <row r="2413" ht="12.75">
      <c r="B2413" s="3"/>
    </row>
    <row r="2414" ht="12.75">
      <c r="B2414" s="3"/>
    </row>
    <row r="2415" ht="12.75">
      <c r="B2415" s="3"/>
    </row>
    <row r="2416" ht="12.75">
      <c r="B2416" s="3"/>
    </row>
    <row r="2417" ht="12.75">
      <c r="B2417" s="3"/>
    </row>
    <row r="2418" ht="12.75">
      <c r="B2418" s="3"/>
    </row>
    <row r="2419" ht="12.75">
      <c r="B2419" s="3"/>
    </row>
    <row r="2420" ht="12.75">
      <c r="B2420" s="3"/>
    </row>
    <row r="2421" ht="12.75">
      <c r="B2421" s="3"/>
    </row>
    <row r="2422" ht="12.75">
      <c r="B2422" s="3"/>
    </row>
    <row r="2423" ht="12.75">
      <c r="B2423" s="3"/>
    </row>
    <row r="2424" ht="12.75">
      <c r="B2424" s="3"/>
    </row>
    <row r="2425" ht="12.75">
      <c r="B2425" s="3"/>
    </row>
    <row r="2426" ht="12.75">
      <c r="B2426" s="3"/>
    </row>
    <row r="2427" ht="12.75">
      <c r="B2427" s="3"/>
    </row>
    <row r="2428" ht="12.75">
      <c r="B2428" s="3"/>
    </row>
    <row r="2429" ht="12.75">
      <c r="B2429" s="3"/>
    </row>
    <row r="2430" ht="12.75">
      <c r="B2430" s="3"/>
    </row>
    <row r="2431" ht="12.75">
      <c r="B2431" s="3"/>
    </row>
    <row r="2432" ht="12.75">
      <c r="B2432" s="3"/>
    </row>
    <row r="2433" ht="12.75">
      <c r="B2433" s="3"/>
    </row>
    <row r="2434" ht="12.75">
      <c r="B2434" s="3"/>
    </row>
    <row r="2435" ht="12.75">
      <c r="B2435" s="3"/>
    </row>
    <row r="2436" ht="12.75">
      <c r="B2436" s="3"/>
    </row>
    <row r="2437" ht="12.75">
      <c r="B2437" s="3"/>
    </row>
    <row r="2438" ht="12.75">
      <c r="B2438" s="3"/>
    </row>
    <row r="2439" ht="12.75">
      <c r="B2439" s="3"/>
    </row>
    <row r="2440" ht="12.75">
      <c r="B2440" s="3"/>
    </row>
    <row r="2441" ht="12.75">
      <c r="B2441" s="3"/>
    </row>
    <row r="2442" ht="12.75">
      <c r="B2442" s="3"/>
    </row>
    <row r="2443" ht="12.75">
      <c r="B2443" s="3"/>
    </row>
    <row r="2444" ht="12.75">
      <c r="B2444" s="3"/>
    </row>
    <row r="2445" ht="12.75">
      <c r="B2445" s="3"/>
    </row>
    <row r="2446" ht="12.75">
      <c r="B2446" s="3"/>
    </row>
    <row r="2447" ht="12.75">
      <c r="B2447" s="3"/>
    </row>
    <row r="2448" ht="12.75">
      <c r="B2448" s="3"/>
    </row>
    <row r="2449" ht="12.75">
      <c r="B2449" s="3"/>
    </row>
    <row r="2450" ht="12.75">
      <c r="B2450" s="3"/>
    </row>
    <row r="2451" ht="12.75">
      <c r="B2451" s="3"/>
    </row>
    <row r="2452" ht="12.75">
      <c r="B2452" s="3"/>
    </row>
    <row r="2453" ht="12.75">
      <c r="B2453" s="3"/>
    </row>
    <row r="2454" ht="12.75">
      <c r="B2454" s="3"/>
    </row>
    <row r="2455" ht="12.75">
      <c r="B2455" s="3"/>
    </row>
    <row r="2456" ht="12.75">
      <c r="B2456" s="3"/>
    </row>
    <row r="2457" ht="12.75">
      <c r="B2457" s="3"/>
    </row>
    <row r="2458" ht="12.75">
      <c r="B2458" s="3"/>
    </row>
    <row r="2459" ht="12.75">
      <c r="B2459" s="3"/>
    </row>
    <row r="2460" ht="12.75">
      <c r="B2460" s="3"/>
    </row>
    <row r="2461" ht="12.75">
      <c r="B2461" s="3"/>
    </row>
    <row r="2462" ht="12.75">
      <c r="B2462" s="3"/>
    </row>
    <row r="2463" ht="12.75">
      <c r="B2463" s="3"/>
    </row>
    <row r="2464" ht="12.75">
      <c r="B2464" s="3"/>
    </row>
    <row r="2465" ht="12.75">
      <c r="B2465" s="3"/>
    </row>
    <row r="2466" ht="12.75">
      <c r="B2466" s="3"/>
    </row>
    <row r="2467" ht="12.75">
      <c r="B2467" s="3"/>
    </row>
    <row r="2468" ht="12.75">
      <c r="B2468" s="3"/>
    </row>
    <row r="2469" ht="12.75">
      <c r="B2469" s="3"/>
    </row>
    <row r="2470" ht="12.75">
      <c r="B2470" s="3"/>
    </row>
    <row r="2471" ht="12.75">
      <c r="B2471" s="3"/>
    </row>
    <row r="2472" ht="12.75">
      <c r="B2472" s="3"/>
    </row>
    <row r="2473" ht="12.75">
      <c r="B2473" s="3"/>
    </row>
    <row r="2474" ht="12.75">
      <c r="B2474" s="3"/>
    </row>
    <row r="2475" ht="12.75">
      <c r="B2475" s="3"/>
    </row>
    <row r="2476" ht="12.75">
      <c r="B2476" s="3"/>
    </row>
    <row r="2477" ht="12.75">
      <c r="B2477" s="3"/>
    </row>
    <row r="2478" ht="12.75">
      <c r="B2478" s="3"/>
    </row>
    <row r="2479" ht="12.75">
      <c r="B2479" s="3"/>
    </row>
    <row r="2480" ht="12.75">
      <c r="B2480" s="3"/>
    </row>
    <row r="2481" ht="12.75">
      <c r="B2481" s="3"/>
    </row>
    <row r="2482" ht="12.75">
      <c r="B2482" s="3"/>
    </row>
    <row r="2483" ht="12.75">
      <c r="B2483" s="3"/>
    </row>
    <row r="2484" ht="12.75">
      <c r="B2484" s="3"/>
    </row>
    <row r="2485" ht="12.75">
      <c r="B2485" s="3"/>
    </row>
    <row r="2486" ht="12.75">
      <c r="B2486" s="3"/>
    </row>
    <row r="2487" ht="12.75">
      <c r="B2487" s="3"/>
    </row>
    <row r="2488" ht="12.75">
      <c r="B2488" s="3"/>
    </row>
    <row r="2489" ht="12.75">
      <c r="B2489" s="3"/>
    </row>
    <row r="2490" ht="12.75">
      <c r="B2490" s="3"/>
    </row>
    <row r="2491" ht="12.75">
      <c r="B2491" s="3"/>
    </row>
    <row r="2492" ht="12.75">
      <c r="B2492" s="3"/>
    </row>
    <row r="2493" ht="12.75">
      <c r="B2493" s="3"/>
    </row>
    <row r="2494" ht="12.75">
      <c r="B2494" s="3"/>
    </row>
    <row r="2495" ht="12.75">
      <c r="B2495" s="3"/>
    </row>
    <row r="2496" ht="12.75">
      <c r="B2496" s="3"/>
    </row>
    <row r="2497" ht="12.75">
      <c r="B2497" s="3"/>
    </row>
    <row r="2498" ht="12.75">
      <c r="B2498" s="3"/>
    </row>
    <row r="2499" ht="12.75">
      <c r="B2499" s="3"/>
    </row>
    <row r="2500" ht="12.75">
      <c r="B2500" s="3"/>
    </row>
    <row r="2501" ht="12.75">
      <c r="B2501" s="3"/>
    </row>
    <row r="2502" ht="12.75">
      <c r="B2502" s="3"/>
    </row>
    <row r="2503" ht="12.75">
      <c r="B2503" s="3"/>
    </row>
    <row r="2504" ht="12.75">
      <c r="B2504" s="3"/>
    </row>
    <row r="2505" ht="12.75">
      <c r="B2505" s="3"/>
    </row>
    <row r="2506" ht="12.75">
      <c r="B2506" s="3"/>
    </row>
    <row r="2507" ht="12.75">
      <c r="B2507" s="3"/>
    </row>
    <row r="2508" ht="12.75">
      <c r="B2508" s="3"/>
    </row>
    <row r="2509" ht="12.75">
      <c r="B2509" s="3"/>
    </row>
    <row r="2510" ht="12.75">
      <c r="B2510" s="3"/>
    </row>
    <row r="2511" ht="12.75">
      <c r="B2511" s="3"/>
    </row>
    <row r="2512" ht="12.75">
      <c r="B2512" s="3"/>
    </row>
    <row r="2513" ht="12.75">
      <c r="B2513" s="3"/>
    </row>
    <row r="2514" ht="12.75">
      <c r="B2514" s="3"/>
    </row>
    <row r="2515" ht="12.75">
      <c r="B2515" s="3"/>
    </row>
    <row r="2516" ht="12.75">
      <c r="B2516" s="3"/>
    </row>
    <row r="2517" ht="12.75">
      <c r="B2517" s="3"/>
    </row>
    <row r="2518" ht="12.75">
      <c r="B2518" s="3"/>
    </row>
    <row r="2519" ht="12.75">
      <c r="B2519" s="3"/>
    </row>
    <row r="2520" ht="12.75">
      <c r="B2520" s="3"/>
    </row>
    <row r="2521" ht="12.75">
      <c r="B2521" s="3"/>
    </row>
    <row r="2522" ht="12.75">
      <c r="B2522" s="3"/>
    </row>
    <row r="2523" ht="12.75">
      <c r="B2523" s="3"/>
    </row>
    <row r="2524" ht="12.75">
      <c r="B2524" s="3"/>
    </row>
    <row r="2525" ht="12.75">
      <c r="B2525" s="3"/>
    </row>
    <row r="2526" ht="12.75">
      <c r="B2526" s="3"/>
    </row>
    <row r="2527" ht="12.75">
      <c r="B2527" s="3"/>
    </row>
    <row r="2528" ht="12.75">
      <c r="B2528" s="3"/>
    </row>
    <row r="2529" ht="12.75">
      <c r="B2529" s="3"/>
    </row>
    <row r="2530" ht="12.75">
      <c r="B2530" s="3"/>
    </row>
    <row r="2531" ht="12.75">
      <c r="B2531" s="3"/>
    </row>
    <row r="2532" ht="12.75">
      <c r="B2532" s="3"/>
    </row>
    <row r="2533" ht="12.75">
      <c r="B2533" s="3"/>
    </row>
    <row r="2534" ht="12.75">
      <c r="B2534" s="3"/>
    </row>
    <row r="2535" ht="12.75">
      <c r="B2535" s="3"/>
    </row>
    <row r="2536" ht="12.75">
      <c r="B2536" s="3"/>
    </row>
    <row r="2537" ht="12.75">
      <c r="B2537" s="3"/>
    </row>
    <row r="2538" ht="12.75">
      <c r="B2538" s="3"/>
    </row>
    <row r="2539" ht="12.75">
      <c r="B2539" s="3"/>
    </row>
    <row r="2540" ht="12.75">
      <c r="B2540" s="3"/>
    </row>
    <row r="2541" ht="12.75">
      <c r="B2541" s="3"/>
    </row>
    <row r="2542" ht="12.75">
      <c r="B2542" s="3"/>
    </row>
    <row r="2543" ht="12.75">
      <c r="B2543" s="3"/>
    </row>
    <row r="2544" ht="12.75">
      <c r="B2544" s="3"/>
    </row>
    <row r="2545" ht="12.75">
      <c r="B2545" s="3"/>
    </row>
    <row r="2546" ht="12.75">
      <c r="B2546" s="3"/>
    </row>
    <row r="2547" ht="12.75">
      <c r="B2547" s="3"/>
    </row>
    <row r="2548" ht="12.75">
      <c r="B2548" s="3"/>
    </row>
    <row r="2549" ht="12.75">
      <c r="B2549" s="3"/>
    </row>
    <row r="2550" ht="12.75">
      <c r="B2550" s="3"/>
    </row>
    <row r="2551" ht="12.75">
      <c r="B2551" s="3"/>
    </row>
    <row r="2552" ht="12.75">
      <c r="B2552" s="3"/>
    </row>
    <row r="2553" ht="12.75">
      <c r="B2553" s="3"/>
    </row>
    <row r="2554" ht="12.75">
      <c r="B2554" s="3"/>
    </row>
    <row r="2555" ht="12.75">
      <c r="B2555" s="3"/>
    </row>
    <row r="2556" ht="12.75">
      <c r="B2556" s="3"/>
    </row>
    <row r="2557" ht="12.75">
      <c r="B2557" s="3"/>
    </row>
    <row r="2558" ht="12.75">
      <c r="B2558" s="3"/>
    </row>
    <row r="2559" ht="12.75">
      <c r="B2559" s="3"/>
    </row>
    <row r="2560" ht="12.75">
      <c r="B2560" s="3"/>
    </row>
    <row r="2561" ht="12.75">
      <c r="B2561" s="3"/>
    </row>
    <row r="2562" ht="12.75">
      <c r="B2562" s="3"/>
    </row>
    <row r="2563" ht="12.75">
      <c r="B2563" s="3"/>
    </row>
    <row r="2564" ht="12.75">
      <c r="B2564" s="3"/>
    </row>
    <row r="2565" ht="12.75">
      <c r="B2565" s="3"/>
    </row>
    <row r="2566" ht="12.75">
      <c r="B2566" s="3"/>
    </row>
    <row r="2567" ht="12.75">
      <c r="B2567" s="3"/>
    </row>
    <row r="2568" ht="12.75">
      <c r="B2568" s="3"/>
    </row>
    <row r="2569" ht="12.75">
      <c r="B2569" s="3"/>
    </row>
    <row r="2570" ht="12.75">
      <c r="B2570" s="3"/>
    </row>
    <row r="2571" ht="12.75">
      <c r="B2571" s="3"/>
    </row>
    <row r="2572" ht="12.75">
      <c r="B2572" s="3"/>
    </row>
    <row r="2573" ht="12.75">
      <c r="B2573" s="3"/>
    </row>
    <row r="2574" ht="12.75">
      <c r="B2574" s="3"/>
    </row>
    <row r="2575" ht="12.75">
      <c r="B2575" s="3"/>
    </row>
    <row r="2576" ht="12.75">
      <c r="B2576" s="3"/>
    </row>
    <row r="2577" ht="12.75">
      <c r="B2577" s="3"/>
    </row>
    <row r="2578" ht="12.75">
      <c r="B2578" s="3"/>
    </row>
    <row r="2579" ht="12.75">
      <c r="B2579" s="3"/>
    </row>
    <row r="2580" ht="12.75">
      <c r="B2580" s="3"/>
    </row>
    <row r="2581" ht="12.75">
      <c r="B2581" s="3"/>
    </row>
    <row r="2582" ht="12.75">
      <c r="B2582" s="3"/>
    </row>
    <row r="2583" ht="12.75">
      <c r="B2583" s="3"/>
    </row>
    <row r="2584" ht="12.75">
      <c r="B2584" s="3"/>
    </row>
    <row r="2585" ht="12.75">
      <c r="B2585" s="3"/>
    </row>
    <row r="2586" ht="12.75">
      <c r="B2586" s="3"/>
    </row>
    <row r="2587" ht="12.75">
      <c r="B2587" s="3"/>
    </row>
    <row r="2588" ht="12.75">
      <c r="B2588" s="3"/>
    </row>
    <row r="2589" ht="12.75">
      <c r="B2589" s="3"/>
    </row>
    <row r="2590" ht="12.75">
      <c r="B2590" s="3"/>
    </row>
    <row r="2591" ht="12.75">
      <c r="B2591" s="3"/>
    </row>
    <row r="2592" ht="12.75">
      <c r="B2592" s="3"/>
    </row>
    <row r="2593" ht="12.75">
      <c r="B2593" s="3"/>
    </row>
    <row r="2594" ht="12.75">
      <c r="B2594" s="3"/>
    </row>
    <row r="2595" ht="12.75">
      <c r="B2595" s="3"/>
    </row>
    <row r="2596" ht="12.75">
      <c r="B2596" s="3"/>
    </row>
    <row r="2597" ht="12.75">
      <c r="B2597" s="3"/>
    </row>
    <row r="2598" ht="12.75">
      <c r="B2598" s="3"/>
    </row>
    <row r="2599" ht="12.75">
      <c r="B2599" s="3"/>
    </row>
    <row r="2600" ht="12.75">
      <c r="B2600" s="3"/>
    </row>
    <row r="2601" ht="12.75">
      <c r="B2601" s="3"/>
    </row>
    <row r="2602" ht="12.75">
      <c r="B2602" s="3"/>
    </row>
    <row r="2603" ht="12.75">
      <c r="B2603" s="3"/>
    </row>
    <row r="2604" ht="12.75">
      <c r="B2604" s="3"/>
    </row>
    <row r="2605" ht="12.75">
      <c r="B2605" s="3"/>
    </row>
    <row r="2606" ht="12.75">
      <c r="B2606" s="3"/>
    </row>
    <row r="2607" ht="12.75">
      <c r="B2607" s="3"/>
    </row>
    <row r="2608" ht="12.75">
      <c r="B2608" s="3"/>
    </row>
    <row r="2609" ht="12.75">
      <c r="B2609" s="3"/>
    </row>
    <row r="2610" ht="12.75">
      <c r="B2610" s="3"/>
    </row>
    <row r="2611" ht="12.75">
      <c r="B2611" s="3"/>
    </row>
    <row r="2612" ht="12.75">
      <c r="B2612" s="3"/>
    </row>
    <row r="2613" ht="12.75">
      <c r="B2613" s="3"/>
    </row>
    <row r="2614" ht="12.75">
      <c r="B2614" s="3"/>
    </row>
    <row r="2615" ht="12.75">
      <c r="B2615" s="3"/>
    </row>
    <row r="2616" ht="12.75">
      <c r="B2616" s="3"/>
    </row>
    <row r="2617" ht="12.75">
      <c r="B2617" s="3"/>
    </row>
    <row r="2618" ht="12.75">
      <c r="B2618" s="3"/>
    </row>
    <row r="2619" ht="12.75">
      <c r="B2619" s="3"/>
    </row>
    <row r="2620" ht="12.75">
      <c r="B2620" s="3"/>
    </row>
    <row r="2621" ht="12.75">
      <c r="B2621" s="3"/>
    </row>
    <row r="2622" ht="12.75">
      <c r="B2622" s="3"/>
    </row>
    <row r="2623" ht="12.75">
      <c r="B2623" s="3"/>
    </row>
    <row r="2624" ht="12.75">
      <c r="B2624" s="3"/>
    </row>
    <row r="2625" ht="12.75">
      <c r="B2625" s="3"/>
    </row>
    <row r="2626" ht="12.75">
      <c r="B2626" s="3"/>
    </row>
    <row r="2627" ht="12.75">
      <c r="B2627" s="3"/>
    </row>
    <row r="2628" ht="12.75">
      <c r="B2628" s="3"/>
    </row>
    <row r="2629" ht="12.75">
      <c r="B2629" s="3"/>
    </row>
    <row r="2630" ht="12.75">
      <c r="B2630" s="3"/>
    </row>
    <row r="2631" ht="12.75">
      <c r="B2631" s="3"/>
    </row>
    <row r="2632" ht="12.75">
      <c r="B2632" s="3"/>
    </row>
    <row r="2633" ht="12.75">
      <c r="B2633" s="3"/>
    </row>
    <row r="2634" ht="12.75">
      <c r="B2634" s="3"/>
    </row>
    <row r="2635" ht="12.75">
      <c r="B2635" s="3"/>
    </row>
    <row r="2636" ht="12.75">
      <c r="B2636" s="3"/>
    </row>
    <row r="2637" ht="12.75">
      <c r="B2637" s="3"/>
    </row>
    <row r="2638" ht="12.75">
      <c r="B2638" s="3"/>
    </row>
    <row r="2639" ht="12.75">
      <c r="B2639" s="3"/>
    </row>
    <row r="2640" ht="12.75">
      <c r="B2640" s="3"/>
    </row>
    <row r="2641" ht="12.75">
      <c r="B2641" s="3"/>
    </row>
    <row r="2642" ht="12.75">
      <c r="B2642" s="3"/>
    </row>
    <row r="2643" ht="12.75">
      <c r="B2643" s="3"/>
    </row>
    <row r="2644" ht="12.75">
      <c r="B2644" s="3"/>
    </row>
    <row r="2645" ht="12.75">
      <c r="B2645" s="3"/>
    </row>
    <row r="2646" ht="12.75">
      <c r="B2646" s="3"/>
    </row>
    <row r="2647" ht="12.75">
      <c r="B2647" s="3"/>
    </row>
    <row r="2648" ht="12.75">
      <c r="B2648" s="3"/>
    </row>
    <row r="2649" ht="12.75">
      <c r="B2649" s="3"/>
    </row>
    <row r="2650" ht="12.75">
      <c r="B2650" s="3"/>
    </row>
    <row r="2651" ht="12.75">
      <c r="B2651" s="3"/>
    </row>
    <row r="2652" ht="12.75">
      <c r="B2652" s="3"/>
    </row>
    <row r="2653" ht="12.75">
      <c r="B2653" s="3"/>
    </row>
    <row r="2654" ht="12.75">
      <c r="B2654" s="3"/>
    </row>
    <row r="2655" ht="12.75">
      <c r="B2655" s="3"/>
    </row>
    <row r="2656" ht="12.75">
      <c r="B2656" s="3"/>
    </row>
    <row r="2657" ht="12.75">
      <c r="B2657" s="3"/>
    </row>
    <row r="2658" ht="12.75">
      <c r="B2658" s="3"/>
    </row>
    <row r="2659" ht="12.75">
      <c r="B2659" s="3"/>
    </row>
    <row r="2660" ht="12.75">
      <c r="B2660" s="3"/>
    </row>
    <row r="2661" ht="12.75">
      <c r="B2661" s="3"/>
    </row>
    <row r="2662" ht="12.75">
      <c r="B2662" s="3"/>
    </row>
    <row r="2663" ht="12.75">
      <c r="B2663" s="3"/>
    </row>
    <row r="2664" ht="12.75">
      <c r="B2664" s="3"/>
    </row>
    <row r="2665" ht="12.75">
      <c r="B2665" s="3"/>
    </row>
    <row r="2666" ht="12.75">
      <c r="B2666" s="3"/>
    </row>
    <row r="2667" ht="12.75">
      <c r="B2667" s="3"/>
    </row>
    <row r="2668" ht="12.75">
      <c r="B2668" s="3"/>
    </row>
    <row r="2669" ht="12.75">
      <c r="B2669" s="3"/>
    </row>
    <row r="2670" ht="12.75">
      <c r="B2670" s="3"/>
    </row>
    <row r="2671" ht="12.75">
      <c r="B2671" s="3"/>
    </row>
    <row r="2672" ht="12.75">
      <c r="B2672" s="3"/>
    </row>
    <row r="2673" ht="12.75">
      <c r="B2673" s="3"/>
    </row>
    <row r="2674" ht="12.75">
      <c r="B2674" s="3"/>
    </row>
    <row r="2675" ht="12.75">
      <c r="B2675" s="3"/>
    </row>
    <row r="2676" ht="12.75">
      <c r="B2676" s="3"/>
    </row>
    <row r="2677" ht="12.75">
      <c r="B2677" s="3"/>
    </row>
    <row r="2678" ht="12.75">
      <c r="B2678" s="3"/>
    </row>
    <row r="2679" ht="12.75">
      <c r="B2679" s="3"/>
    </row>
    <row r="2680" ht="12.75">
      <c r="B2680" s="3"/>
    </row>
    <row r="2681" ht="12.75">
      <c r="B2681" s="3"/>
    </row>
    <row r="2682" ht="12.75">
      <c r="B2682" s="3"/>
    </row>
    <row r="2683" ht="12.75">
      <c r="B2683" s="3"/>
    </row>
    <row r="2684" ht="12.75">
      <c r="B2684" s="3"/>
    </row>
    <row r="2685" ht="12.75">
      <c r="B2685" s="3"/>
    </row>
    <row r="2686" ht="12.75">
      <c r="B2686" s="3"/>
    </row>
    <row r="2687" ht="12.75">
      <c r="B2687" s="3"/>
    </row>
    <row r="2688" ht="12.75">
      <c r="B2688" s="3"/>
    </row>
    <row r="2689" ht="12.75">
      <c r="B2689" s="3"/>
    </row>
    <row r="2690" ht="12.75">
      <c r="B2690" s="3"/>
    </row>
    <row r="2691" ht="12.75">
      <c r="B2691" s="3"/>
    </row>
    <row r="2692" ht="12.75">
      <c r="B2692" s="3"/>
    </row>
    <row r="2693" ht="12.75">
      <c r="B2693" s="3"/>
    </row>
    <row r="2694" ht="12.75">
      <c r="B2694" s="3"/>
    </row>
    <row r="2695" ht="12.75">
      <c r="B2695" s="3"/>
    </row>
    <row r="2696" ht="12.75">
      <c r="B2696" s="3"/>
    </row>
    <row r="2697" ht="12.75">
      <c r="B2697" s="3"/>
    </row>
    <row r="2698" ht="12.75">
      <c r="B2698" s="3"/>
    </row>
    <row r="2699" ht="12.75">
      <c r="B2699" s="3"/>
    </row>
    <row r="2700" ht="12.75">
      <c r="B2700" s="3"/>
    </row>
    <row r="2701" ht="12.75">
      <c r="B2701" s="3"/>
    </row>
    <row r="2702" ht="12.75">
      <c r="B2702" s="3"/>
    </row>
    <row r="2703" ht="12.75">
      <c r="B2703" s="3"/>
    </row>
    <row r="2704" ht="12.75">
      <c r="B2704" s="3"/>
    </row>
    <row r="2705" ht="12.75">
      <c r="B2705" s="3"/>
    </row>
    <row r="2706" ht="12.75">
      <c r="B2706" s="3"/>
    </row>
    <row r="2707" ht="12.75">
      <c r="B2707" s="3"/>
    </row>
    <row r="2708" ht="12.75">
      <c r="B2708" s="3"/>
    </row>
    <row r="2709" ht="12.75">
      <c r="B2709" s="3"/>
    </row>
    <row r="2710" ht="12.75">
      <c r="B2710" s="3"/>
    </row>
    <row r="2711" ht="12.75">
      <c r="B2711" s="3"/>
    </row>
    <row r="2712" ht="12.75">
      <c r="B2712" s="3"/>
    </row>
    <row r="2713" ht="12.75">
      <c r="B2713" s="3"/>
    </row>
    <row r="2714" ht="12.75">
      <c r="B2714" s="3"/>
    </row>
    <row r="2715" ht="12.75">
      <c r="B2715" s="3"/>
    </row>
    <row r="2716" ht="12.75">
      <c r="B2716" s="3"/>
    </row>
    <row r="2717" ht="12.75">
      <c r="B2717" s="3"/>
    </row>
    <row r="2718" ht="12.75">
      <c r="B2718" s="3"/>
    </row>
    <row r="2719" ht="12.75">
      <c r="B2719" s="3"/>
    </row>
    <row r="2720" ht="12.75">
      <c r="B2720" s="3"/>
    </row>
    <row r="2721" ht="12.75">
      <c r="B2721" s="3"/>
    </row>
    <row r="2722" ht="12.75">
      <c r="B2722" s="3"/>
    </row>
    <row r="2723" ht="12.75">
      <c r="B2723" s="3"/>
    </row>
    <row r="2724" ht="12.75">
      <c r="B2724" s="3"/>
    </row>
    <row r="2725" ht="12.75">
      <c r="B2725" s="3"/>
    </row>
    <row r="2726" ht="12.75">
      <c r="B2726" s="3"/>
    </row>
    <row r="2727" ht="12.75">
      <c r="B2727" s="3"/>
    </row>
    <row r="2728" ht="12.75">
      <c r="B2728" s="3"/>
    </row>
    <row r="2729" ht="12.75">
      <c r="B2729" s="3"/>
    </row>
    <row r="2730" ht="12.75">
      <c r="B2730" s="3"/>
    </row>
    <row r="2731" ht="12.75">
      <c r="B2731" s="3"/>
    </row>
    <row r="2732" ht="12.75">
      <c r="B2732" s="3"/>
    </row>
    <row r="2733" ht="12.75">
      <c r="B2733" s="3"/>
    </row>
    <row r="2734" ht="12.75">
      <c r="B2734" s="3"/>
    </row>
    <row r="2735" ht="12.75">
      <c r="B2735" s="3"/>
    </row>
    <row r="2736" ht="12.75">
      <c r="B2736" s="3"/>
    </row>
    <row r="2737" ht="12.75">
      <c r="B2737" s="3"/>
    </row>
    <row r="2738" ht="12.75">
      <c r="B2738" s="3"/>
    </row>
    <row r="2739" ht="12.75">
      <c r="B2739" s="3"/>
    </row>
    <row r="2740" ht="12.75">
      <c r="B2740" s="3"/>
    </row>
    <row r="2741" ht="12.75">
      <c r="B2741" s="3"/>
    </row>
    <row r="2742" ht="12.75">
      <c r="B2742" s="3"/>
    </row>
    <row r="2743" ht="12.75">
      <c r="B2743" s="3"/>
    </row>
    <row r="2744" ht="12.75">
      <c r="B2744" s="3"/>
    </row>
    <row r="2745" ht="12.75">
      <c r="B2745" s="3"/>
    </row>
    <row r="2746" ht="12.75">
      <c r="B2746" s="3"/>
    </row>
    <row r="2747" ht="12.75">
      <c r="B2747" s="3"/>
    </row>
    <row r="2748" ht="12.75">
      <c r="B2748" s="3"/>
    </row>
    <row r="2749" ht="12.75">
      <c r="B2749" s="3"/>
    </row>
    <row r="2750" ht="12.75">
      <c r="B2750" s="3"/>
    </row>
    <row r="2751" ht="12.75">
      <c r="B2751" s="3"/>
    </row>
    <row r="2752" ht="12.75">
      <c r="B2752" s="3"/>
    </row>
    <row r="2753" ht="12.75">
      <c r="B2753" s="3"/>
    </row>
    <row r="2754" ht="12.75">
      <c r="B2754" s="3"/>
    </row>
    <row r="2755" ht="12.75">
      <c r="B2755" s="3"/>
    </row>
    <row r="2756" ht="12.75">
      <c r="B2756" s="3"/>
    </row>
    <row r="2757" ht="12.75">
      <c r="B2757" s="3"/>
    </row>
    <row r="2758" ht="12.75">
      <c r="B2758" s="3"/>
    </row>
    <row r="2759" ht="12.75">
      <c r="B2759" s="3"/>
    </row>
    <row r="2760" ht="12.75">
      <c r="B2760" s="3"/>
    </row>
    <row r="2761" ht="12.75">
      <c r="B2761" s="3"/>
    </row>
    <row r="2762" ht="12.75">
      <c r="B2762" s="3"/>
    </row>
    <row r="2763" ht="12.75">
      <c r="B2763" s="3"/>
    </row>
    <row r="2764" ht="12.75">
      <c r="B2764" s="3"/>
    </row>
    <row r="2765" ht="12.75">
      <c r="B2765" s="3"/>
    </row>
    <row r="2766" ht="12.75">
      <c r="B2766" s="3"/>
    </row>
    <row r="2767" ht="12.75">
      <c r="B2767" s="3"/>
    </row>
    <row r="2768" ht="12.75">
      <c r="B2768" s="3"/>
    </row>
    <row r="2769" ht="12.75">
      <c r="B2769" s="3"/>
    </row>
    <row r="2770" ht="12.75">
      <c r="B2770" s="3"/>
    </row>
    <row r="2771" ht="12.75">
      <c r="B2771" s="3"/>
    </row>
    <row r="2772" ht="12.75">
      <c r="B2772" s="3"/>
    </row>
    <row r="2773" ht="12.75">
      <c r="B2773" s="3"/>
    </row>
    <row r="2774" ht="12.75">
      <c r="B2774" s="3"/>
    </row>
    <row r="2775" ht="12.75">
      <c r="B2775" s="3"/>
    </row>
    <row r="2776" ht="12.75">
      <c r="B2776" s="3"/>
    </row>
    <row r="2777" ht="12.75">
      <c r="B2777" s="3"/>
    </row>
    <row r="2778" ht="12.75">
      <c r="B2778" s="3"/>
    </row>
    <row r="2779" ht="12.75">
      <c r="B2779" s="3"/>
    </row>
    <row r="2780" ht="12.75">
      <c r="B2780" s="3"/>
    </row>
    <row r="2781" ht="12.75">
      <c r="B2781" s="3"/>
    </row>
    <row r="2782" ht="12.75">
      <c r="B2782" s="3"/>
    </row>
    <row r="2783" ht="12.75">
      <c r="B2783" s="3"/>
    </row>
    <row r="2784" ht="12.75">
      <c r="B2784" s="3"/>
    </row>
    <row r="2785" ht="12.75">
      <c r="B2785" s="3"/>
    </row>
    <row r="2786" ht="12.75">
      <c r="B2786" s="3"/>
    </row>
    <row r="2787" ht="12.75">
      <c r="B2787" s="3"/>
    </row>
    <row r="2788" ht="12.75">
      <c r="B2788" s="3"/>
    </row>
    <row r="2789" ht="12.75">
      <c r="B2789" s="3"/>
    </row>
    <row r="2790" ht="12.75">
      <c r="B2790" s="3"/>
    </row>
    <row r="2791" ht="12.75">
      <c r="B2791" s="3"/>
    </row>
    <row r="2792" ht="12.75">
      <c r="B2792" s="3"/>
    </row>
    <row r="2793" ht="12.75">
      <c r="B2793" s="3"/>
    </row>
    <row r="2794" ht="12.75">
      <c r="B2794" s="3"/>
    </row>
    <row r="2795" ht="12.75">
      <c r="B2795" s="3"/>
    </row>
    <row r="2796" ht="12.75">
      <c r="B2796" s="3"/>
    </row>
    <row r="2797" ht="12.75">
      <c r="B2797" s="3"/>
    </row>
    <row r="2798" ht="12.75">
      <c r="B2798" s="3"/>
    </row>
    <row r="2799" ht="12.75">
      <c r="B2799" s="3"/>
    </row>
    <row r="2800" ht="12.75">
      <c r="B2800" s="3"/>
    </row>
    <row r="2801" ht="12.75">
      <c r="B2801" s="3"/>
    </row>
    <row r="2802" ht="12.75">
      <c r="B2802" s="3"/>
    </row>
    <row r="2803" ht="12.75">
      <c r="B2803" s="3"/>
    </row>
    <row r="2804" ht="12.75">
      <c r="B2804" s="3"/>
    </row>
    <row r="2805" ht="12.75">
      <c r="B2805" s="3"/>
    </row>
    <row r="2806" ht="12.75">
      <c r="B2806" s="3"/>
    </row>
    <row r="2807" ht="12.75">
      <c r="B2807" s="3"/>
    </row>
    <row r="2808" ht="12.75">
      <c r="B2808" s="3"/>
    </row>
    <row r="2809" ht="12.75">
      <c r="B2809" s="3"/>
    </row>
    <row r="2810" ht="12.75">
      <c r="B2810" s="3"/>
    </row>
    <row r="2811" ht="12.75">
      <c r="B2811" s="3"/>
    </row>
    <row r="2812" ht="12.75">
      <c r="B2812" s="3"/>
    </row>
    <row r="2813" ht="12.75">
      <c r="B2813" s="3"/>
    </row>
    <row r="2814" ht="12.75">
      <c r="B2814" s="3"/>
    </row>
    <row r="2815" ht="12.75">
      <c r="B2815" s="3"/>
    </row>
    <row r="2816" ht="12.75">
      <c r="B2816" s="3"/>
    </row>
    <row r="2817" ht="12.75">
      <c r="B2817" s="3"/>
    </row>
    <row r="2818" ht="12.75">
      <c r="B2818" s="3"/>
    </row>
    <row r="2819" ht="12.75">
      <c r="B2819" s="3"/>
    </row>
    <row r="2820" ht="12.75">
      <c r="B2820" s="3"/>
    </row>
    <row r="2821" ht="12.75">
      <c r="B2821" s="3"/>
    </row>
    <row r="2822" ht="12.75">
      <c r="B2822" s="3"/>
    </row>
    <row r="2823" ht="12.75">
      <c r="B2823" s="3"/>
    </row>
    <row r="2824" ht="12.75">
      <c r="B2824" s="3"/>
    </row>
    <row r="2825" ht="12.75">
      <c r="B2825" s="3"/>
    </row>
    <row r="2826" ht="12.75">
      <c r="B2826" s="3"/>
    </row>
    <row r="2827" ht="12.75">
      <c r="B2827" s="3"/>
    </row>
    <row r="2828" ht="12.75">
      <c r="B2828" s="3"/>
    </row>
    <row r="2829" ht="12.75">
      <c r="B2829" s="3"/>
    </row>
    <row r="2830" ht="12.75">
      <c r="B2830" s="3"/>
    </row>
    <row r="2831" ht="12.75">
      <c r="B2831" s="3"/>
    </row>
    <row r="2832" ht="12.75">
      <c r="B2832" s="3"/>
    </row>
    <row r="2833" ht="12.75">
      <c r="B2833" s="3"/>
    </row>
    <row r="2834" ht="12.75">
      <c r="B2834" s="3"/>
    </row>
    <row r="2835" ht="12.75">
      <c r="B2835" s="3"/>
    </row>
    <row r="2836" ht="12.75">
      <c r="B2836" s="3"/>
    </row>
    <row r="2837" ht="12.75">
      <c r="B2837" s="3"/>
    </row>
    <row r="2838" ht="12.75">
      <c r="B2838" s="3"/>
    </row>
    <row r="2839" ht="12.75">
      <c r="B2839" s="3"/>
    </row>
    <row r="2840" ht="12.75">
      <c r="B2840" s="3"/>
    </row>
    <row r="2841" ht="12.75">
      <c r="B2841" s="3"/>
    </row>
    <row r="2842" ht="12.75">
      <c r="B2842" s="3"/>
    </row>
    <row r="2843" ht="12.75">
      <c r="B2843" s="3"/>
    </row>
    <row r="2844" ht="12.75">
      <c r="B2844" s="3"/>
    </row>
    <row r="2845" ht="12.75">
      <c r="B2845" s="3"/>
    </row>
    <row r="2846" ht="12.75">
      <c r="B2846" s="3"/>
    </row>
    <row r="2847" ht="12.75">
      <c r="B2847" s="3"/>
    </row>
    <row r="2848" ht="12.75">
      <c r="B2848" s="3"/>
    </row>
    <row r="2849" ht="12.75">
      <c r="B2849" s="3"/>
    </row>
    <row r="2850" ht="12.75">
      <c r="B2850" s="3"/>
    </row>
    <row r="2851" ht="12.75">
      <c r="B2851" s="3"/>
    </row>
    <row r="2852" ht="12.75">
      <c r="B2852" s="3"/>
    </row>
    <row r="2853" ht="12.75">
      <c r="B2853" s="3"/>
    </row>
    <row r="2854" ht="12.75">
      <c r="B2854" s="3"/>
    </row>
    <row r="2855" ht="12.75">
      <c r="B2855" s="3"/>
    </row>
    <row r="2856" ht="12.75">
      <c r="B2856" s="3"/>
    </row>
    <row r="2857" ht="12.75">
      <c r="B2857" s="3"/>
    </row>
    <row r="2858" ht="12.75">
      <c r="B2858" s="3"/>
    </row>
    <row r="2859" ht="12.75">
      <c r="B2859" s="3"/>
    </row>
    <row r="2860" ht="12.75">
      <c r="B2860" s="3"/>
    </row>
    <row r="2861" ht="12.75">
      <c r="B2861" s="3"/>
    </row>
    <row r="2862" ht="12.75">
      <c r="B2862" s="3"/>
    </row>
    <row r="2863" ht="12.75">
      <c r="B2863" s="3"/>
    </row>
    <row r="2864" ht="12.75">
      <c r="B2864" s="3"/>
    </row>
    <row r="2865" ht="12.75">
      <c r="B2865" s="3"/>
    </row>
    <row r="2866" ht="12.75">
      <c r="B2866" s="3"/>
    </row>
    <row r="2867" ht="12.75">
      <c r="B2867" s="3"/>
    </row>
    <row r="2868" ht="12.75">
      <c r="B2868" s="3"/>
    </row>
    <row r="2869" ht="12.75">
      <c r="B2869" s="3"/>
    </row>
    <row r="2870" ht="12.75">
      <c r="B2870" s="3"/>
    </row>
    <row r="2871" ht="12.75">
      <c r="B2871" s="3"/>
    </row>
    <row r="2872" ht="12.75">
      <c r="B2872" s="3"/>
    </row>
    <row r="2873" ht="12.75">
      <c r="B2873" s="3"/>
    </row>
    <row r="2874" ht="12.75">
      <c r="B2874" s="3"/>
    </row>
    <row r="2875" ht="12.75">
      <c r="B2875" s="3"/>
    </row>
    <row r="2876" ht="12.75">
      <c r="B2876" s="3"/>
    </row>
    <row r="2877" ht="12.75">
      <c r="B2877" s="3"/>
    </row>
    <row r="2878" ht="12.75">
      <c r="B2878" s="3"/>
    </row>
    <row r="2879" ht="12.75">
      <c r="B2879" s="3"/>
    </row>
    <row r="2880" ht="12.75">
      <c r="B2880" s="3"/>
    </row>
    <row r="2881" ht="12.75">
      <c r="B2881" s="3"/>
    </row>
    <row r="2882" ht="12.75">
      <c r="B2882" s="3"/>
    </row>
    <row r="2883" ht="12.75">
      <c r="B2883" s="3"/>
    </row>
    <row r="2884" ht="12.75">
      <c r="B2884" s="3"/>
    </row>
    <row r="2885" ht="12.75">
      <c r="B2885" s="3"/>
    </row>
    <row r="2886" ht="12.75">
      <c r="B2886" s="3"/>
    </row>
    <row r="2887" ht="12.75">
      <c r="B2887" s="3"/>
    </row>
    <row r="2888" ht="12.75">
      <c r="B2888" s="3"/>
    </row>
    <row r="2889" ht="12.75">
      <c r="B2889" s="3"/>
    </row>
    <row r="2890" ht="12.75">
      <c r="B2890" s="3"/>
    </row>
    <row r="2891" ht="12.75">
      <c r="B2891" s="3"/>
    </row>
    <row r="2892" ht="12.75">
      <c r="B2892" s="3"/>
    </row>
    <row r="2893" ht="12.75">
      <c r="B2893" s="3"/>
    </row>
    <row r="2894" ht="12.75">
      <c r="B2894" s="3"/>
    </row>
    <row r="2895" ht="12.75">
      <c r="B2895" s="3"/>
    </row>
    <row r="2896" ht="12.75">
      <c r="B2896" s="3"/>
    </row>
    <row r="2897" ht="12.75">
      <c r="B2897" s="3"/>
    </row>
    <row r="2898" ht="12.75">
      <c r="B2898" s="3"/>
    </row>
    <row r="2899" ht="12.75">
      <c r="B2899" s="3"/>
    </row>
    <row r="2900" ht="12.75">
      <c r="B2900" s="3"/>
    </row>
    <row r="2901" ht="12.75">
      <c r="B2901" s="3"/>
    </row>
    <row r="2902" ht="12.75">
      <c r="B2902" s="3"/>
    </row>
    <row r="2903" ht="12.75">
      <c r="B2903" s="3"/>
    </row>
    <row r="2904" ht="12.75">
      <c r="B2904" s="3"/>
    </row>
    <row r="2905" ht="12.75">
      <c r="B2905" s="3"/>
    </row>
    <row r="2906" ht="12.75">
      <c r="B2906" s="3"/>
    </row>
    <row r="2907" ht="12.75">
      <c r="B2907" s="3"/>
    </row>
    <row r="2908" ht="12.75">
      <c r="B2908" s="3"/>
    </row>
    <row r="2909" ht="12.75">
      <c r="B2909" s="3"/>
    </row>
    <row r="2910" ht="12.75">
      <c r="B2910" s="3"/>
    </row>
    <row r="2911" ht="12.75">
      <c r="B2911" s="3"/>
    </row>
    <row r="2912" ht="12.75">
      <c r="B2912" s="3"/>
    </row>
    <row r="2913" ht="12.75">
      <c r="B2913" s="3"/>
    </row>
    <row r="2914" ht="12.75">
      <c r="B2914" s="3"/>
    </row>
    <row r="2915" ht="12.75">
      <c r="B2915" s="3"/>
    </row>
    <row r="2916" ht="12.75">
      <c r="B2916" s="3"/>
    </row>
    <row r="2917" ht="12.75">
      <c r="B2917" s="3"/>
    </row>
    <row r="2918" ht="12.75">
      <c r="B2918" s="3"/>
    </row>
    <row r="2919" ht="12.75">
      <c r="B2919" s="3"/>
    </row>
    <row r="2920" ht="12.75">
      <c r="B2920" s="3"/>
    </row>
    <row r="2921" ht="12.75">
      <c r="B2921" s="3"/>
    </row>
    <row r="2922" ht="12.75">
      <c r="B2922" s="3"/>
    </row>
    <row r="2923" ht="12.75">
      <c r="B2923" s="3"/>
    </row>
    <row r="2924" ht="12.75">
      <c r="B2924" s="3"/>
    </row>
    <row r="2925" ht="12.75">
      <c r="B2925" s="3"/>
    </row>
    <row r="2926" ht="12.75">
      <c r="B2926" s="3"/>
    </row>
    <row r="2927" ht="12.75">
      <c r="B2927" s="3"/>
    </row>
    <row r="2928" ht="12.75">
      <c r="B2928" s="3"/>
    </row>
    <row r="2929" ht="12.75">
      <c r="B2929" s="3"/>
    </row>
    <row r="2930" ht="12.75">
      <c r="B2930" s="3"/>
    </row>
    <row r="2931" ht="12.75">
      <c r="B2931" s="3"/>
    </row>
    <row r="2932" ht="12.75">
      <c r="B2932" s="3"/>
    </row>
    <row r="2933" ht="12.75">
      <c r="B2933" s="3"/>
    </row>
    <row r="2934" ht="12.75">
      <c r="B2934" s="3"/>
    </row>
    <row r="2935" ht="12.75">
      <c r="B2935" s="3"/>
    </row>
    <row r="2936" ht="12.75">
      <c r="B2936" s="3"/>
    </row>
    <row r="2937" ht="12.75">
      <c r="B2937" s="3"/>
    </row>
    <row r="2938" ht="12.75">
      <c r="B2938" s="3"/>
    </row>
    <row r="2939" ht="12.75">
      <c r="B2939" s="3"/>
    </row>
    <row r="2940" ht="12.75">
      <c r="B2940" s="3"/>
    </row>
    <row r="2941" ht="12.75">
      <c r="B2941" s="3"/>
    </row>
    <row r="2942" ht="12.75">
      <c r="B2942" s="3"/>
    </row>
    <row r="2943" ht="12.75">
      <c r="B2943" s="3"/>
    </row>
    <row r="2944" ht="12.75">
      <c r="B2944" s="3"/>
    </row>
    <row r="2945" ht="12.75">
      <c r="B2945" s="3"/>
    </row>
    <row r="2946" ht="12.75">
      <c r="B2946" s="3"/>
    </row>
    <row r="2947" ht="12.75">
      <c r="B2947" s="3"/>
    </row>
    <row r="2948" ht="12.75">
      <c r="B2948" s="3"/>
    </row>
    <row r="2949" ht="12.75">
      <c r="B2949" s="3"/>
    </row>
    <row r="2950" ht="12.75">
      <c r="B2950" s="3"/>
    </row>
    <row r="2951" ht="12.75">
      <c r="B2951" s="3"/>
    </row>
    <row r="2952" ht="12.75">
      <c r="B2952" s="3"/>
    </row>
    <row r="2953" ht="12.75">
      <c r="B2953" s="3"/>
    </row>
    <row r="2954" ht="12.75">
      <c r="B2954" s="3"/>
    </row>
    <row r="2955" ht="12.75">
      <c r="B2955" s="3"/>
    </row>
    <row r="2956" ht="12.75">
      <c r="B2956" s="3"/>
    </row>
    <row r="2957" ht="12.75">
      <c r="B2957" s="3"/>
    </row>
    <row r="2958" ht="12.75">
      <c r="B2958" s="3"/>
    </row>
    <row r="2959" ht="12.75">
      <c r="B2959" s="3"/>
    </row>
    <row r="2960" ht="12.75">
      <c r="B2960" s="3"/>
    </row>
    <row r="2961" ht="12.75">
      <c r="B2961" s="3"/>
    </row>
    <row r="2962" ht="12.75">
      <c r="B2962" s="3"/>
    </row>
    <row r="2963" ht="12.75">
      <c r="B2963" s="3"/>
    </row>
    <row r="2964" ht="12.75">
      <c r="B2964" s="3"/>
    </row>
    <row r="2965" ht="12.75">
      <c r="B2965" s="3"/>
    </row>
    <row r="2966" ht="12.75">
      <c r="B2966" s="3"/>
    </row>
    <row r="2967" ht="12.75">
      <c r="B2967" s="3"/>
    </row>
    <row r="2968" ht="12.75">
      <c r="B2968" s="3"/>
    </row>
    <row r="2969" ht="12.75">
      <c r="B2969" s="3"/>
    </row>
    <row r="2970" ht="12.75">
      <c r="B2970" s="3"/>
    </row>
    <row r="2971" ht="12.75">
      <c r="B2971" s="3"/>
    </row>
    <row r="2972" ht="12.75">
      <c r="B2972" s="3"/>
    </row>
    <row r="2973" ht="12.75">
      <c r="B2973" s="3"/>
    </row>
    <row r="2974" ht="12.75">
      <c r="B2974" s="3"/>
    </row>
    <row r="2975" ht="12.75">
      <c r="B2975" s="3"/>
    </row>
    <row r="2976" ht="12.75">
      <c r="B2976" s="3"/>
    </row>
    <row r="2977" ht="12.75">
      <c r="B2977" s="3"/>
    </row>
    <row r="2978" ht="12.75">
      <c r="B2978" s="3"/>
    </row>
    <row r="2979" ht="12.75">
      <c r="B2979" s="3"/>
    </row>
    <row r="2980" ht="12.75">
      <c r="B2980" s="3"/>
    </row>
    <row r="2981" ht="12.75">
      <c r="B2981" s="3"/>
    </row>
    <row r="2982" ht="12.75">
      <c r="B2982" s="3"/>
    </row>
    <row r="2983" ht="12.75">
      <c r="B2983" s="3"/>
    </row>
    <row r="2984" ht="12.75">
      <c r="B2984" s="3"/>
    </row>
    <row r="2985" ht="12.75">
      <c r="B2985" s="3"/>
    </row>
    <row r="2986" ht="12.75">
      <c r="B2986" s="3"/>
    </row>
    <row r="2987" ht="12.75">
      <c r="B2987" s="3"/>
    </row>
    <row r="2988" ht="12.75">
      <c r="B2988" s="3"/>
    </row>
    <row r="2989" ht="12.75">
      <c r="B2989" s="3"/>
    </row>
    <row r="2990" ht="12.75">
      <c r="B2990" s="3"/>
    </row>
    <row r="2991" ht="12.75">
      <c r="B2991" s="3"/>
    </row>
    <row r="2992" ht="12.75">
      <c r="B2992" s="3"/>
    </row>
    <row r="2993" ht="12.75">
      <c r="B2993" s="3"/>
    </row>
    <row r="2994" ht="12.75">
      <c r="B2994" s="3"/>
    </row>
    <row r="2995" ht="12.75">
      <c r="B2995" s="3"/>
    </row>
    <row r="2996" ht="12.75">
      <c r="B2996" s="3"/>
    </row>
    <row r="2997" ht="12.75">
      <c r="B2997" s="3"/>
    </row>
    <row r="2998" ht="12.75">
      <c r="B2998" s="3"/>
    </row>
    <row r="2999" ht="12.75">
      <c r="B2999" s="3"/>
    </row>
    <row r="3000" ht="12.75">
      <c r="B3000" s="3"/>
    </row>
    <row r="3001" ht="12.75">
      <c r="B3001" s="3"/>
    </row>
    <row r="3002" ht="12.75">
      <c r="B3002" s="3"/>
    </row>
    <row r="3003" ht="12.75">
      <c r="B3003" s="3"/>
    </row>
    <row r="3004" ht="12.75">
      <c r="B3004" s="3"/>
    </row>
    <row r="3005" ht="12.75">
      <c r="B3005" s="3"/>
    </row>
    <row r="3006" ht="12.75">
      <c r="B3006" s="3"/>
    </row>
    <row r="3007" ht="12.75">
      <c r="B3007" s="3"/>
    </row>
    <row r="3008" ht="12.75">
      <c r="B3008" s="3"/>
    </row>
    <row r="3009" ht="12.75">
      <c r="B3009" s="3"/>
    </row>
    <row r="3010" ht="12.75">
      <c r="B3010" s="3"/>
    </row>
    <row r="3011" ht="12.75">
      <c r="B3011" s="3"/>
    </row>
    <row r="3012" ht="12.75">
      <c r="B3012" s="3"/>
    </row>
    <row r="3013" ht="12.75">
      <c r="B3013" s="3"/>
    </row>
    <row r="3014" ht="12.75">
      <c r="B3014" s="3"/>
    </row>
    <row r="3015" ht="12.75">
      <c r="B3015" s="3"/>
    </row>
    <row r="3016" ht="12.75">
      <c r="B3016" s="3"/>
    </row>
    <row r="3017" ht="12.75">
      <c r="B3017" s="3"/>
    </row>
    <row r="3018" ht="12.75">
      <c r="B3018" s="3"/>
    </row>
    <row r="3019" ht="12.75">
      <c r="B3019" s="3"/>
    </row>
    <row r="3020" ht="12.75">
      <c r="B3020" s="3"/>
    </row>
    <row r="3021" ht="12.75">
      <c r="B3021" s="3"/>
    </row>
    <row r="3022" ht="12.75">
      <c r="B3022" s="3"/>
    </row>
    <row r="3023" ht="12.75">
      <c r="B3023" s="3"/>
    </row>
    <row r="3024" ht="12.75">
      <c r="B3024" s="3"/>
    </row>
    <row r="3025" ht="12.75">
      <c r="B3025" s="3"/>
    </row>
    <row r="3026" ht="12.75">
      <c r="B3026" s="3"/>
    </row>
    <row r="3027" ht="12.75">
      <c r="B3027" s="3"/>
    </row>
    <row r="3028" ht="12.75">
      <c r="B3028" s="3"/>
    </row>
    <row r="3029" ht="12.75">
      <c r="B3029" s="3"/>
    </row>
    <row r="3030" ht="12.75">
      <c r="B3030" s="3"/>
    </row>
    <row r="3031" ht="12.75">
      <c r="B3031" s="3"/>
    </row>
    <row r="3032" ht="12.75">
      <c r="B3032" s="3"/>
    </row>
    <row r="3033" ht="12.75">
      <c r="B3033" s="3"/>
    </row>
    <row r="3034" ht="12.75">
      <c r="B3034" s="3"/>
    </row>
    <row r="3035" ht="12.75">
      <c r="B3035" s="3"/>
    </row>
    <row r="3036" ht="12.75">
      <c r="B3036" s="3"/>
    </row>
    <row r="3037" ht="12.75">
      <c r="B3037" s="3"/>
    </row>
    <row r="3038" ht="12.75">
      <c r="B3038" s="3"/>
    </row>
    <row r="3039" ht="12.75">
      <c r="B3039" s="3"/>
    </row>
    <row r="3040" ht="12.75">
      <c r="B3040" s="3"/>
    </row>
    <row r="3041" ht="12.75">
      <c r="B3041" s="3"/>
    </row>
    <row r="3042" ht="12.75">
      <c r="B3042" s="3"/>
    </row>
    <row r="3043" ht="12.75">
      <c r="B3043" s="3"/>
    </row>
    <row r="3044" ht="12.75">
      <c r="B3044" s="3"/>
    </row>
    <row r="3045" ht="12.75">
      <c r="B3045" s="3"/>
    </row>
    <row r="3046" ht="12.75">
      <c r="B3046" s="3"/>
    </row>
    <row r="3047" ht="12.75">
      <c r="B3047" s="3"/>
    </row>
    <row r="3048" ht="12.75">
      <c r="B3048" s="3"/>
    </row>
    <row r="3049" ht="12.75">
      <c r="B3049" s="3"/>
    </row>
    <row r="3050" ht="12.75">
      <c r="B3050" s="3"/>
    </row>
    <row r="3051" ht="12.75">
      <c r="B3051" s="3"/>
    </row>
    <row r="3052" ht="12.75">
      <c r="B3052" s="3"/>
    </row>
    <row r="3053" ht="12.75">
      <c r="B3053" s="3"/>
    </row>
    <row r="3054" ht="12.75">
      <c r="B3054" s="3"/>
    </row>
    <row r="3055" ht="12.75">
      <c r="B3055" s="3"/>
    </row>
    <row r="3056" ht="12.75">
      <c r="B3056" s="3"/>
    </row>
    <row r="3057" ht="12.75">
      <c r="B3057" s="3"/>
    </row>
    <row r="3058" ht="12.75">
      <c r="B3058" s="3"/>
    </row>
    <row r="3059" ht="12.75">
      <c r="B3059" s="3"/>
    </row>
    <row r="3060" ht="12.75">
      <c r="B3060" s="3"/>
    </row>
    <row r="3061" ht="12.75">
      <c r="B3061" s="3"/>
    </row>
    <row r="3062" ht="12.75">
      <c r="B3062" s="3"/>
    </row>
    <row r="3063" ht="12.75">
      <c r="B3063" s="3"/>
    </row>
    <row r="3064" ht="12.75">
      <c r="B3064" s="3"/>
    </row>
    <row r="3065" ht="12.75">
      <c r="B3065" s="3"/>
    </row>
    <row r="3066" ht="12.75">
      <c r="B3066" s="3"/>
    </row>
    <row r="3067" ht="12.75">
      <c r="B3067" s="3"/>
    </row>
    <row r="3068" ht="12.75">
      <c r="B3068" s="3"/>
    </row>
    <row r="3069" ht="12.75">
      <c r="B3069" s="3"/>
    </row>
    <row r="3070" ht="12.75">
      <c r="B3070" s="3"/>
    </row>
    <row r="3071" ht="12.75">
      <c r="B3071" s="3"/>
    </row>
    <row r="3072" ht="12.75">
      <c r="B3072" s="3"/>
    </row>
    <row r="3073" ht="12.75">
      <c r="B3073" s="3"/>
    </row>
    <row r="3074" ht="12.75">
      <c r="B3074" s="3"/>
    </row>
    <row r="3075" ht="12.75">
      <c r="B3075" s="3"/>
    </row>
    <row r="3076" ht="12.75">
      <c r="B3076" s="3"/>
    </row>
    <row r="3077" ht="12.75">
      <c r="B3077" s="3"/>
    </row>
    <row r="3078" ht="12.75">
      <c r="B3078" s="3"/>
    </row>
    <row r="3079" ht="12.75">
      <c r="B3079" s="3"/>
    </row>
    <row r="3080" ht="12.75">
      <c r="B3080" s="3"/>
    </row>
    <row r="3081" ht="12.75">
      <c r="B3081" s="3"/>
    </row>
    <row r="3082" ht="12.75">
      <c r="B3082" s="3"/>
    </row>
    <row r="3083" ht="12.75">
      <c r="B3083" s="3"/>
    </row>
    <row r="3084" ht="12.75">
      <c r="B3084" s="3"/>
    </row>
    <row r="3085" ht="12.75">
      <c r="B3085" s="3"/>
    </row>
    <row r="3086" ht="12.75">
      <c r="B3086" s="3"/>
    </row>
    <row r="3087" ht="12.75">
      <c r="B3087" s="3"/>
    </row>
    <row r="3088" ht="12.75">
      <c r="B3088" s="3"/>
    </row>
    <row r="3089" ht="12.75">
      <c r="B3089" s="3"/>
    </row>
    <row r="3090" ht="12.75">
      <c r="B3090" s="3"/>
    </row>
    <row r="3091" ht="12.75">
      <c r="B3091" s="3"/>
    </row>
    <row r="3092" ht="12.75">
      <c r="B3092" s="3"/>
    </row>
    <row r="3093" ht="12.75">
      <c r="B3093" s="3"/>
    </row>
    <row r="3094" ht="12.75">
      <c r="B3094" s="3"/>
    </row>
    <row r="3095" ht="12.75">
      <c r="B3095" s="3"/>
    </row>
    <row r="3096" ht="12.75">
      <c r="B3096" s="3"/>
    </row>
    <row r="3097" ht="12.75">
      <c r="B3097" s="3"/>
    </row>
    <row r="3098" ht="12.75">
      <c r="B3098" s="3"/>
    </row>
    <row r="3099" ht="12.75">
      <c r="B3099" s="3"/>
    </row>
    <row r="3100" ht="12.75">
      <c r="B3100" s="3"/>
    </row>
    <row r="3101" ht="12.75">
      <c r="B3101" s="3"/>
    </row>
    <row r="3102" ht="12.75">
      <c r="B3102" s="3"/>
    </row>
    <row r="3103" ht="12.75">
      <c r="B3103" s="3"/>
    </row>
    <row r="3104" ht="12.75">
      <c r="B3104" s="3"/>
    </row>
    <row r="3105" ht="12.75">
      <c r="B3105" s="3"/>
    </row>
    <row r="3106" ht="12.75">
      <c r="B3106" s="3"/>
    </row>
    <row r="3107" ht="12.75">
      <c r="B3107" s="3"/>
    </row>
    <row r="3108" ht="12.75">
      <c r="B3108" s="3"/>
    </row>
    <row r="3109" ht="12.75">
      <c r="B3109" s="3"/>
    </row>
    <row r="3110" ht="12.75">
      <c r="B3110" s="3"/>
    </row>
    <row r="3111" ht="12.75">
      <c r="B3111" s="3"/>
    </row>
    <row r="3112" ht="12.75">
      <c r="B3112" s="3"/>
    </row>
    <row r="3113" ht="12.75">
      <c r="B3113" s="3"/>
    </row>
    <row r="3114" ht="12.75">
      <c r="B3114" s="3"/>
    </row>
    <row r="3115" ht="12.75">
      <c r="B3115" s="3"/>
    </row>
    <row r="3116" ht="12.75">
      <c r="B3116" s="3"/>
    </row>
    <row r="3117" ht="12.75">
      <c r="B3117" s="3"/>
    </row>
    <row r="3118" ht="12.75">
      <c r="B3118" s="3"/>
    </row>
    <row r="3119" ht="12.75">
      <c r="B3119" s="3"/>
    </row>
    <row r="3120" ht="12.75">
      <c r="B3120" s="3"/>
    </row>
    <row r="3121" ht="12.75">
      <c r="B3121" s="3"/>
    </row>
    <row r="3122" ht="12.75">
      <c r="B3122" s="3"/>
    </row>
    <row r="3123" ht="12.75">
      <c r="B3123" s="3"/>
    </row>
    <row r="3124" ht="12.75">
      <c r="B3124" s="3"/>
    </row>
    <row r="3125" ht="12.75">
      <c r="B3125" s="3"/>
    </row>
    <row r="3126" ht="12.75">
      <c r="B3126" s="3"/>
    </row>
    <row r="3127" ht="12.75">
      <c r="B3127" s="3"/>
    </row>
    <row r="3128" ht="12.75">
      <c r="B3128" s="3"/>
    </row>
    <row r="3129" ht="12.75">
      <c r="B3129" s="3"/>
    </row>
    <row r="3130" ht="12.75">
      <c r="B3130" s="3"/>
    </row>
    <row r="3131" ht="12.75">
      <c r="B3131" s="3"/>
    </row>
    <row r="3132" ht="12.75">
      <c r="B3132" s="3"/>
    </row>
    <row r="3133" ht="12.75">
      <c r="B3133" s="3"/>
    </row>
    <row r="3134" ht="12.75">
      <c r="B3134" s="3"/>
    </row>
    <row r="3135" ht="12.75">
      <c r="B3135" s="3"/>
    </row>
    <row r="3136" ht="12.75">
      <c r="B3136" s="3"/>
    </row>
    <row r="3137" ht="12.75">
      <c r="B3137" s="3"/>
    </row>
    <row r="3138" ht="12.75">
      <c r="B3138" s="3"/>
    </row>
    <row r="3139" ht="12.75">
      <c r="B3139" s="3"/>
    </row>
    <row r="3140" ht="12.75">
      <c r="B3140" s="3"/>
    </row>
    <row r="3141" ht="12.75">
      <c r="B3141" s="3"/>
    </row>
    <row r="3142" ht="12.75">
      <c r="B3142" s="3"/>
    </row>
    <row r="3143" ht="12.75">
      <c r="B3143" s="3"/>
    </row>
    <row r="3144" ht="12.75">
      <c r="B3144" s="3"/>
    </row>
    <row r="3145" ht="12.75">
      <c r="B3145" s="3"/>
    </row>
    <row r="3146" ht="12.75">
      <c r="B3146" s="3"/>
    </row>
    <row r="3147" ht="12.75">
      <c r="B3147" s="3"/>
    </row>
    <row r="3148" ht="12.75">
      <c r="B3148" s="3"/>
    </row>
    <row r="3149" ht="12.75">
      <c r="B3149" s="3"/>
    </row>
    <row r="3150" ht="12.75">
      <c r="B3150" s="3"/>
    </row>
    <row r="3151" ht="12.75">
      <c r="B3151" s="3"/>
    </row>
    <row r="3152" ht="12.75">
      <c r="B3152" s="3"/>
    </row>
    <row r="3153" ht="12.75">
      <c r="B3153" s="3"/>
    </row>
    <row r="3154" ht="12.75">
      <c r="B3154" s="3"/>
    </row>
    <row r="3155" ht="12.75">
      <c r="B3155" s="3"/>
    </row>
    <row r="3156" ht="12.75">
      <c r="B3156" s="3"/>
    </row>
    <row r="3157" ht="12.75">
      <c r="B3157" s="3"/>
    </row>
    <row r="3158" ht="12.75">
      <c r="B3158" s="3"/>
    </row>
    <row r="3159" ht="12.75">
      <c r="B3159" s="3"/>
    </row>
    <row r="3160" ht="12.75">
      <c r="B3160" s="3"/>
    </row>
    <row r="3161" ht="12.75">
      <c r="B3161" s="3"/>
    </row>
    <row r="3162" ht="12.75">
      <c r="B3162" s="3"/>
    </row>
    <row r="3163" ht="12.75">
      <c r="B3163" s="3"/>
    </row>
    <row r="3164" ht="12.75">
      <c r="B3164" s="3"/>
    </row>
    <row r="3165" ht="12.75">
      <c r="B3165" s="3"/>
    </row>
    <row r="3166" ht="12.75">
      <c r="B3166" s="3"/>
    </row>
    <row r="3167" ht="12.75">
      <c r="B3167" s="3"/>
    </row>
    <row r="3168" ht="12.75">
      <c r="B3168" s="3"/>
    </row>
    <row r="3169" ht="12.75">
      <c r="B3169" s="3"/>
    </row>
    <row r="3170" ht="12.75">
      <c r="B3170" s="3"/>
    </row>
    <row r="3171" ht="12.75">
      <c r="B3171" s="3"/>
    </row>
    <row r="3172" ht="12.75">
      <c r="B3172" s="3"/>
    </row>
    <row r="3173" ht="12.75">
      <c r="B3173" s="3"/>
    </row>
    <row r="3174" ht="12.75">
      <c r="B3174" s="3"/>
    </row>
    <row r="3175" ht="12.75">
      <c r="B3175" s="3"/>
    </row>
    <row r="3176" ht="12.75">
      <c r="B3176" s="3"/>
    </row>
    <row r="3177" ht="12.75">
      <c r="B3177" s="3"/>
    </row>
    <row r="3178" ht="12.75">
      <c r="B3178" s="3"/>
    </row>
    <row r="3179" ht="12.75">
      <c r="B3179" s="3"/>
    </row>
    <row r="3180" ht="12.75">
      <c r="B3180" s="3"/>
    </row>
    <row r="3181" ht="12.75">
      <c r="B3181" s="3"/>
    </row>
    <row r="3182" ht="12.75">
      <c r="B3182" s="3"/>
    </row>
    <row r="3183" ht="12.75">
      <c r="B3183" s="3"/>
    </row>
    <row r="3184" ht="12.75">
      <c r="B3184" s="3"/>
    </row>
    <row r="3185" ht="12.75">
      <c r="B3185" s="3"/>
    </row>
    <row r="3186" ht="12.75">
      <c r="B3186" s="3"/>
    </row>
    <row r="3187" ht="12.75">
      <c r="B3187" s="3"/>
    </row>
    <row r="3188" ht="12.75">
      <c r="B3188" s="3"/>
    </row>
    <row r="3189" ht="12.75">
      <c r="B3189" s="3"/>
    </row>
    <row r="3190" ht="12.75">
      <c r="B3190" s="3"/>
    </row>
    <row r="3191" ht="12.75">
      <c r="B3191" s="3"/>
    </row>
    <row r="3192" ht="12.75">
      <c r="B3192" s="3"/>
    </row>
    <row r="3193" ht="12.75">
      <c r="B3193" s="3"/>
    </row>
    <row r="3194" ht="12.75">
      <c r="B3194" s="3"/>
    </row>
    <row r="3195" ht="12.75">
      <c r="B3195" s="3"/>
    </row>
    <row r="3196" ht="12.75">
      <c r="B3196" s="3"/>
    </row>
    <row r="3197" ht="12.75">
      <c r="B3197" s="3"/>
    </row>
    <row r="3198" ht="12.75">
      <c r="B3198" s="3"/>
    </row>
    <row r="3199" ht="12.75">
      <c r="B3199" s="3"/>
    </row>
    <row r="3200" ht="12.75">
      <c r="B3200" s="3"/>
    </row>
    <row r="3201" ht="12.75">
      <c r="B3201" s="3"/>
    </row>
    <row r="3202" ht="12.75">
      <c r="B3202" s="3"/>
    </row>
    <row r="3203" ht="12.75">
      <c r="B3203" s="3"/>
    </row>
    <row r="3204" ht="12.75">
      <c r="B3204" s="3"/>
    </row>
    <row r="3205" ht="12.75">
      <c r="B3205" s="3"/>
    </row>
    <row r="3206" ht="12.75">
      <c r="B3206" s="3"/>
    </row>
    <row r="3207" ht="12.75">
      <c r="B3207" s="3"/>
    </row>
    <row r="3208" ht="12.75">
      <c r="B3208" s="3"/>
    </row>
    <row r="3209" ht="12.75">
      <c r="B3209" s="3"/>
    </row>
    <row r="3210" ht="12.75">
      <c r="B3210" s="3"/>
    </row>
    <row r="3211" ht="12.75">
      <c r="B3211" s="3"/>
    </row>
    <row r="3212" ht="12.75">
      <c r="B3212" s="3"/>
    </row>
    <row r="3213" ht="12.75">
      <c r="B3213" s="3"/>
    </row>
    <row r="3214" ht="12.75">
      <c r="B3214" s="3"/>
    </row>
    <row r="3215" ht="12.75">
      <c r="B3215" s="3"/>
    </row>
    <row r="3216" ht="12.75">
      <c r="B3216" s="3"/>
    </row>
    <row r="3217" ht="12.75">
      <c r="B3217" s="3"/>
    </row>
    <row r="3218" ht="12.75">
      <c r="B3218" s="3"/>
    </row>
    <row r="3219" ht="12.75">
      <c r="B3219" s="3"/>
    </row>
    <row r="3220" ht="12.75">
      <c r="B3220" s="3"/>
    </row>
    <row r="3221" ht="12.75">
      <c r="B3221" s="3"/>
    </row>
    <row r="3222" ht="12.75">
      <c r="B3222" s="3"/>
    </row>
    <row r="3223" ht="12.75">
      <c r="B3223" s="3"/>
    </row>
    <row r="3224" ht="12.75">
      <c r="B3224" s="3"/>
    </row>
    <row r="3225" ht="12.75">
      <c r="B3225" s="3"/>
    </row>
    <row r="3226" ht="12.75">
      <c r="B3226" s="3"/>
    </row>
    <row r="3227" ht="12.75">
      <c r="B3227" s="3"/>
    </row>
    <row r="3228" ht="12.75">
      <c r="B3228" s="3"/>
    </row>
    <row r="3229" ht="12.75">
      <c r="B3229" s="3"/>
    </row>
    <row r="3230" ht="12.75">
      <c r="B3230" s="3"/>
    </row>
    <row r="3231" ht="12.75">
      <c r="B3231" s="3"/>
    </row>
    <row r="3232" ht="12.75">
      <c r="B3232" s="3"/>
    </row>
    <row r="3233" ht="12.75">
      <c r="B3233" s="3"/>
    </row>
    <row r="3234" ht="12.75">
      <c r="B3234" s="3"/>
    </row>
    <row r="3235" ht="12.75">
      <c r="B3235" s="3"/>
    </row>
    <row r="3236" ht="12.75">
      <c r="B3236" s="3"/>
    </row>
    <row r="3237" ht="12.75">
      <c r="B3237" s="3"/>
    </row>
    <row r="3238" ht="12.75">
      <c r="B3238" s="3"/>
    </row>
    <row r="3239" ht="12.75">
      <c r="B3239" s="3"/>
    </row>
    <row r="3240" ht="12.75">
      <c r="B3240" s="3"/>
    </row>
    <row r="3241" ht="12.75">
      <c r="B3241" s="3"/>
    </row>
    <row r="3242" ht="12.75">
      <c r="B3242" s="3"/>
    </row>
    <row r="3243" ht="12.75">
      <c r="B3243" s="3"/>
    </row>
    <row r="3244" ht="12.75">
      <c r="B3244" s="3"/>
    </row>
    <row r="3245" ht="12.75">
      <c r="B3245" s="3"/>
    </row>
    <row r="3246" ht="12.75">
      <c r="B3246" s="3"/>
    </row>
    <row r="3247" ht="12.75">
      <c r="B3247" s="3"/>
    </row>
    <row r="3248" ht="12.75">
      <c r="B3248" s="3"/>
    </row>
    <row r="3249" ht="12.75">
      <c r="B3249" s="3"/>
    </row>
    <row r="3250" ht="12.75">
      <c r="B3250" s="3"/>
    </row>
    <row r="3251" ht="12.75">
      <c r="B3251" s="3"/>
    </row>
    <row r="3252" ht="12.75">
      <c r="B3252" s="3"/>
    </row>
    <row r="3253" ht="12.75">
      <c r="B3253" s="3"/>
    </row>
    <row r="3254" ht="12.75">
      <c r="B3254" s="3"/>
    </row>
    <row r="3255" ht="12.75">
      <c r="B3255" s="3"/>
    </row>
    <row r="3256" ht="12.75">
      <c r="B3256" s="3"/>
    </row>
    <row r="3257" ht="12.75">
      <c r="B3257" s="3"/>
    </row>
    <row r="3258" ht="12.75">
      <c r="B3258" s="3"/>
    </row>
    <row r="3259" ht="12.75">
      <c r="B3259" s="3"/>
    </row>
    <row r="3260" ht="12.75">
      <c r="B3260" s="3"/>
    </row>
    <row r="3261" ht="12.75">
      <c r="B3261" s="3"/>
    </row>
    <row r="3262" ht="12.75">
      <c r="B3262" s="3"/>
    </row>
    <row r="3263" ht="12.75">
      <c r="B3263" s="3"/>
    </row>
    <row r="3264" ht="12.75">
      <c r="B3264" s="3"/>
    </row>
    <row r="3265" ht="12.75">
      <c r="B3265" s="3"/>
    </row>
    <row r="3266" ht="12.75">
      <c r="B3266" s="3"/>
    </row>
    <row r="3267" ht="12.75">
      <c r="B3267" s="3"/>
    </row>
    <row r="3268" ht="12.75">
      <c r="B3268" s="3"/>
    </row>
    <row r="3269" ht="12.75">
      <c r="B3269" s="3"/>
    </row>
    <row r="3270" ht="12.75">
      <c r="B3270" s="3"/>
    </row>
    <row r="3271" ht="12.75">
      <c r="B3271" s="3"/>
    </row>
    <row r="3272" ht="12.75">
      <c r="B3272" s="3"/>
    </row>
    <row r="3273" ht="12.75">
      <c r="B3273" s="3"/>
    </row>
    <row r="3274" ht="12.75">
      <c r="B3274" s="3"/>
    </row>
    <row r="3275" ht="12.75">
      <c r="B3275" s="3"/>
    </row>
    <row r="3276" ht="12.75">
      <c r="B3276" s="3"/>
    </row>
    <row r="3277" ht="12.75">
      <c r="B3277" s="3"/>
    </row>
    <row r="3278" ht="12.75">
      <c r="B3278" s="3"/>
    </row>
    <row r="3279" ht="12.75">
      <c r="B3279" s="3"/>
    </row>
    <row r="3280" ht="12.75">
      <c r="B3280" s="3"/>
    </row>
    <row r="3281" ht="12.75">
      <c r="B3281" s="3"/>
    </row>
    <row r="3282" ht="12.75">
      <c r="B3282" s="3"/>
    </row>
    <row r="3283" ht="12.75">
      <c r="B3283" s="3"/>
    </row>
    <row r="3284" ht="12.75">
      <c r="B3284" s="3"/>
    </row>
    <row r="3285" ht="12.75">
      <c r="B3285" s="3"/>
    </row>
    <row r="3286" ht="12.75">
      <c r="B3286" s="3"/>
    </row>
    <row r="3287" ht="12.75">
      <c r="B3287" s="3"/>
    </row>
    <row r="3288" ht="12.75">
      <c r="B3288" s="3"/>
    </row>
    <row r="3289" ht="12.75">
      <c r="B3289" s="3"/>
    </row>
    <row r="3290" ht="12.75">
      <c r="B3290" s="3"/>
    </row>
    <row r="3291" ht="12.75">
      <c r="B3291" s="3"/>
    </row>
    <row r="3292" ht="12.75">
      <c r="B3292" s="3"/>
    </row>
    <row r="3293" ht="12.75">
      <c r="B3293" s="3"/>
    </row>
    <row r="3294" ht="12.75">
      <c r="B3294" s="3"/>
    </row>
    <row r="3295" ht="12.75">
      <c r="B3295" s="3"/>
    </row>
    <row r="3296" ht="12.75">
      <c r="B3296" s="3"/>
    </row>
    <row r="3297" ht="12.75">
      <c r="B3297" s="3"/>
    </row>
    <row r="3298" ht="12.75">
      <c r="B3298" s="3"/>
    </row>
    <row r="3299" ht="12.75">
      <c r="B3299" s="3"/>
    </row>
    <row r="3300" ht="12.75">
      <c r="B3300" s="3"/>
    </row>
    <row r="3301" ht="12.75">
      <c r="B3301" s="3"/>
    </row>
    <row r="3302" ht="12.75">
      <c r="B3302" s="3"/>
    </row>
    <row r="3303" ht="12.75">
      <c r="B3303" s="3"/>
    </row>
    <row r="3304" ht="12.75">
      <c r="B3304" s="3"/>
    </row>
    <row r="3305" ht="12.75">
      <c r="B3305" s="3"/>
    </row>
    <row r="3306" ht="12.75">
      <c r="B3306" s="3"/>
    </row>
    <row r="3307" ht="12.75">
      <c r="B3307" s="3"/>
    </row>
    <row r="3308" ht="12.75">
      <c r="B3308" s="3"/>
    </row>
    <row r="3309" ht="12.75">
      <c r="B3309" s="3"/>
    </row>
    <row r="3310" ht="12.75">
      <c r="B3310" s="3"/>
    </row>
    <row r="3311" ht="12.75">
      <c r="B3311" s="3"/>
    </row>
    <row r="3312" ht="12.75">
      <c r="B3312" s="3"/>
    </row>
    <row r="3313" ht="12.75">
      <c r="B3313" s="3"/>
    </row>
    <row r="3314" ht="12.75">
      <c r="B3314" s="3"/>
    </row>
    <row r="3315" ht="12.75">
      <c r="B3315" s="3"/>
    </row>
    <row r="3316" ht="12.75">
      <c r="B3316" s="3"/>
    </row>
    <row r="3317" ht="12.75">
      <c r="B3317" s="3"/>
    </row>
    <row r="3318" ht="12.75">
      <c r="B3318" s="3"/>
    </row>
    <row r="3319" ht="12.75">
      <c r="B3319" s="3"/>
    </row>
    <row r="3320" ht="12.75">
      <c r="B3320" s="3"/>
    </row>
    <row r="3321" ht="12.75">
      <c r="B3321" s="3"/>
    </row>
    <row r="3322" ht="12.75">
      <c r="B3322" s="3"/>
    </row>
    <row r="3323" ht="12.75">
      <c r="B3323" s="3"/>
    </row>
    <row r="3324" ht="12.75">
      <c r="B3324" s="3"/>
    </row>
    <row r="3325" ht="12.75">
      <c r="B3325" s="3"/>
    </row>
    <row r="3326" ht="12.75">
      <c r="B3326" s="3"/>
    </row>
    <row r="3327" ht="12.75">
      <c r="B3327" s="3"/>
    </row>
    <row r="3328" ht="12.75">
      <c r="B3328" s="3"/>
    </row>
    <row r="3329" ht="12.75">
      <c r="B3329" s="3"/>
    </row>
    <row r="3330" ht="12.75">
      <c r="B3330" s="3"/>
    </row>
    <row r="3331" ht="12.75">
      <c r="B3331" s="3"/>
    </row>
    <row r="3332" ht="12.75">
      <c r="B3332" s="3"/>
    </row>
    <row r="3333" ht="12.75">
      <c r="B3333" s="3"/>
    </row>
    <row r="3334" ht="12.75">
      <c r="B3334" s="3"/>
    </row>
    <row r="3335" ht="12.75">
      <c r="B3335" s="3"/>
    </row>
    <row r="3336" ht="12.75">
      <c r="B3336" s="3"/>
    </row>
    <row r="3337" ht="12.75">
      <c r="B3337" s="3"/>
    </row>
    <row r="3338" ht="12.75">
      <c r="B3338" s="3"/>
    </row>
    <row r="3339" ht="12.75">
      <c r="B3339" s="3"/>
    </row>
    <row r="3340" ht="12.75">
      <c r="B3340" s="3"/>
    </row>
    <row r="3341" ht="12.75">
      <c r="B3341" s="3"/>
    </row>
    <row r="3342" ht="12.75">
      <c r="B3342" s="3"/>
    </row>
    <row r="3343" ht="12.75">
      <c r="B3343" s="3"/>
    </row>
    <row r="3344" ht="12.75">
      <c r="B3344" s="3"/>
    </row>
    <row r="3345" ht="12.75">
      <c r="B3345" s="3"/>
    </row>
    <row r="3346" ht="12.75">
      <c r="B3346" s="3"/>
    </row>
    <row r="3347" ht="12.75">
      <c r="B3347" s="3"/>
    </row>
    <row r="3348" ht="12.75">
      <c r="B3348" s="3"/>
    </row>
    <row r="3349" ht="12.75">
      <c r="B3349" s="3"/>
    </row>
    <row r="3350" ht="12.75">
      <c r="B3350" s="3"/>
    </row>
    <row r="3351" ht="12.75">
      <c r="B3351" s="3"/>
    </row>
    <row r="3352" ht="12.75">
      <c r="B3352" s="3"/>
    </row>
    <row r="3353" ht="12.75">
      <c r="B3353" s="3"/>
    </row>
    <row r="3354" ht="12.75">
      <c r="B3354" s="3"/>
    </row>
    <row r="3355" ht="12.75">
      <c r="B3355" s="3"/>
    </row>
    <row r="3356" ht="12.75">
      <c r="B3356" s="3"/>
    </row>
    <row r="3357" ht="12.75">
      <c r="B3357" s="3"/>
    </row>
    <row r="3358" ht="12.75">
      <c r="B3358" s="3"/>
    </row>
    <row r="3359" ht="12.75">
      <c r="B3359" s="3"/>
    </row>
    <row r="3360" ht="12.75">
      <c r="B3360" s="3"/>
    </row>
    <row r="3361" ht="12.75">
      <c r="B3361" s="3"/>
    </row>
    <row r="3362" ht="12.75">
      <c r="B3362" s="3"/>
    </row>
    <row r="3363" ht="12.75">
      <c r="B3363" s="3"/>
    </row>
    <row r="3364" ht="12.75">
      <c r="B3364" s="3"/>
    </row>
    <row r="3365" ht="12.75">
      <c r="B3365" s="3"/>
    </row>
    <row r="3366" ht="12.75">
      <c r="B3366" s="3"/>
    </row>
    <row r="3367" ht="12.75">
      <c r="B3367" s="3"/>
    </row>
    <row r="3368" ht="12.75">
      <c r="B3368" s="3"/>
    </row>
    <row r="3369" ht="12.75">
      <c r="B3369" s="3"/>
    </row>
    <row r="3370" ht="12.75">
      <c r="B3370" s="3"/>
    </row>
    <row r="3371" ht="12.75">
      <c r="B3371" s="3"/>
    </row>
    <row r="3372" ht="12.75">
      <c r="B3372" s="3"/>
    </row>
    <row r="3373" ht="12.75">
      <c r="B3373" s="3"/>
    </row>
    <row r="3374" ht="12.75">
      <c r="B3374" s="3"/>
    </row>
    <row r="3375" ht="12.75">
      <c r="B3375" s="3"/>
    </row>
    <row r="3376" ht="12.75">
      <c r="B3376" s="3"/>
    </row>
    <row r="3377" ht="12.75">
      <c r="B3377" s="3"/>
    </row>
    <row r="3378" ht="12.75">
      <c r="B3378" s="3"/>
    </row>
    <row r="3379" ht="12.75">
      <c r="B3379" s="3"/>
    </row>
    <row r="3380" ht="12.75">
      <c r="B3380" s="3"/>
    </row>
    <row r="3381" ht="12.75">
      <c r="B3381" s="3"/>
    </row>
    <row r="3382" ht="12.75">
      <c r="B3382" s="3"/>
    </row>
    <row r="3383" ht="12.75">
      <c r="B3383" s="3"/>
    </row>
    <row r="3384" ht="12.75">
      <c r="B3384" s="3"/>
    </row>
    <row r="3385" ht="12.75">
      <c r="B3385" s="3"/>
    </row>
    <row r="3386" ht="12.75">
      <c r="B3386" s="3"/>
    </row>
    <row r="3387" ht="12.75">
      <c r="B3387" s="3"/>
    </row>
    <row r="3388" ht="12.75">
      <c r="B3388" s="3"/>
    </row>
    <row r="3389" ht="12.75">
      <c r="B3389" s="3"/>
    </row>
    <row r="3390" ht="12.75">
      <c r="B3390" s="3"/>
    </row>
    <row r="3391" ht="12.75">
      <c r="B3391" s="3"/>
    </row>
    <row r="3392" ht="12.75">
      <c r="B3392" s="3"/>
    </row>
    <row r="3393" ht="12.75">
      <c r="B3393" s="3"/>
    </row>
    <row r="3394" ht="12.75">
      <c r="B3394" s="3"/>
    </row>
    <row r="3395" ht="12.75">
      <c r="B3395" s="3"/>
    </row>
    <row r="3396" ht="12.75">
      <c r="B3396" s="3"/>
    </row>
    <row r="3397" ht="12.75">
      <c r="B3397" s="3"/>
    </row>
    <row r="3398" ht="12.75">
      <c r="B3398" s="3"/>
    </row>
    <row r="3399" ht="12.75">
      <c r="B3399" s="3"/>
    </row>
    <row r="3400" ht="12.75">
      <c r="B3400" s="3"/>
    </row>
    <row r="3401" ht="12.75">
      <c r="B3401" s="3"/>
    </row>
    <row r="3402" ht="12.75">
      <c r="B3402" s="3"/>
    </row>
    <row r="3403" ht="12.75">
      <c r="B3403" s="3"/>
    </row>
    <row r="3404" ht="12.75">
      <c r="B3404" s="3"/>
    </row>
    <row r="3405" ht="12.75">
      <c r="B3405" s="3"/>
    </row>
    <row r="3406" ht="12.75">
      <c r="B3406" s="3"/>
    </row>
    <row r="3407" ht="12.75">
      <c r="B3407" s="3"/>
    </row>
    <row r="3408" ht="12.75">
      <c r="B3408" s="3"/>
    </row>
    <row r="3409" ht="12.75">
      <c r="B3409" s="3"/>
    </row>
    <row r="3410" ht="12.75">
      <c r="B3410" s="3"/>
    </row>
    <row r="3411" ht="12.75">
      <c r="B3411" s="3"/>
    </row>
    <row r="3412" ht="12.75">
      <c r="B3412" s="3"/>
    </row>
    <row r="3413" ht="12.75">
      <c r="B3413" s="3"/>
    </row>
    <row r="3414" ht="12.75">
      <c r="B3414" s="3"/>
    </row>
    <row r="3415" ht="12.75">
      <c r="B3415" s="3"/>
    </row>
    <row r="3416" ht="12.75">
      <c r="B3416" s="3"/>
    </row>
    <row r="3417" ht="12.75">
      <c r="B3417" s="3"/>
    </row>
    <row r="3418" ht="12.75">
      <c r="B3418" s="3"/>
    </row>
    <row r="3419" ht="12.75">
      <c r="B3419" s="3"/>
    </row>
    <row r="3420" ht="12.75">
      <c r="B3420" s="3"/>
    </row>
    <row r="3421" ht="12.75">
      <c r="B3421" s="3"/>
    </row>
    <row r="3422" ht="12.75">
      <c r="B3422" s="3"/>
    </row>
    <row r="3423" ht="12.75">
      <c r="B3423" s="3"/>
    </row>
    <row r="3424" ht="12.75">
      <c r="B3424" s="3"/>
    </row>
    <row r="3425" ht="12.75">
      <c r="B3425" s="3"/>
    </row>
    <row r="3426" ht="12.75">
      <c r="B3426" s="3"/>
    </row>
    <row r="3427" ht="12.75">
      <c r="B3427" s="3"/>
    </row>
    <row r="3428" ht="12.75">
      <c r="B3428" s="3"/>
    </row>
    <row r="3429" ht="12.75">
      <c r="B3429" s="3"/>
    </row>
    <row r="3430" ht="12.75">
      <c r="B3430" s="3"/>
    </row>
    <row r="3431" ht="12.75">
      <c r="B3431" s="3"/>
    </row>
    <row r="3432" ht="12.75">
      <c r="B3432" s="3"/>
    </row>
    <row r="3433" ht="12.75">
      <c r="B3433" s="3"/>
    </row>
    <row r="3434" ht="12.75">
      <c r="B3434" s="3"/>
    </row>
    <row r="3435" ht="12.75">
      <c r="B3435" s="3"/>
    </row>
    <row r="3436" ht="12.75">
      <c r="B3436" s="3"/>
    </row>
    <row r="3437" ht="12.75">
      <c r="B3437" s="3"/>
    </row>
    <row r="3438" ht="12.75">
      <c r="B3438" s="3"/>
    </row>
    <row r="3439" ht="12.75">
      <c r="B3439" s="3"/>
    </row>
    <row r="3440" ht="12.75">
      <c r="B3440" s="3"/>
    </row>
    <row r="3441" ht="12.75">
      <c r="B3441" s="3"/>
    </row>
    <row r="3442" ht="12.75">
      <c r="B3442" s="3"/>
    </row>
    <row r="3443" ht="12.75">
      <c r="B3443" s="3"/>
    </row>
    <row r="3444" ht="12.75">
      <c r="B3444" s="3"/>
    </row>
    <row r="3445" ht="12.75">
      <c r="B3445" s="3"/>
    </row>
    <row r="3446" ht="12.75">
      <c r="B3446" s="3"/>
    </row>
    <row r="3447" ht="12.75">
      <c r="B3447" s="3"/>
    </row>
    <row r="3448" ht="12.75">
      <c r="B3448" s="3"/>
    </row>
    <row r="3449" ht="12.75">
      <c r="B3449" s="3"/>
    </row>
    <row r="3450" ht="12.75">
      <c r="B3450" s="3"/>
    </row>
    <row r="3451" ht="12.75">
      <c r="B3451" s="3"/>
    </row>
    <row r="3452" ht="12.75">
      <c r="B3452" s="3"/>
    </row>
    <row r="3453" ht="12.75">
      <c r="B3453" s="3"/>
    </row>
    <row r="3454" ht="12.75">
      <c r="B3454" s="3"/>
    </row>
    <row r="3455" ht="12.75">
      <c r="B3455" s="3"/>
    </row>
    <row r="3456" ht="12.75">
      <c r="B3456" s="3"/>
    </row>
    <row r="3457" ht="12.75">
      <c r="B3457" s="3"/>
    </row>
    <row r="3458" ht="12.75">
      <c r="B3458" s="3"/>
    </row>
    <row r="3459" ht="12.75">
      <c r="B3459" s="3"/>
    </row>
    <row r="3460" ht="12.75">
      <c r="B3460" s="3"/>
    </row>
    <row r="3461" ht="12.75">
      <c r="B3461" s="3"/>
    </row>
    <row r="3462" ht="12.75">
      <c r="B3462" s="3"/>
    </row>
    <row r="3463" ht="12.75">
      <c r="B3463" s="3"/>
    </row>
    <row r="3464" ht="12.75">
      <c r="B3464" s="3"/>
    </row>
    <row r="3465" ht="12.75">
      <c r="B3465" s="3"/>
    </row>
    <row r="3466" ht="12.75">
      <c r="B3466" s="3"/>
    </row>
    <row r="3467" ht="12.75">
      <c r="B3467" s="3"/>
    </row>
    <row r="3468" ht="12.75">
      <c r="B3468" s="3"/>
    </row>
    <row r="3469" ht="12.75">
      <c r="B3469" s="3"/>
    </row>
    <row r="3470" ht="12.75">
      <c r="B3470" s="3"/>
    </row>
    <row r="3471" ht="12.75">
      <c r="B3471" s="3"/>
    </row>
    <row r="3472" ht="12.75">
      <c r="B3472" s="3"/>
    </row>
    <row r="3473" ht="12.75">
      <c r="B3473" s="3"/>
    </row>
    <row r="3474" ht="12.75">
      <c r="B3474" s="3"/>
    </row>
    <row r="3475" ht="12.75">
      <c r="B3475" s="3"/>
    </row>
    <row r="3476" ht="12.75">
      <c r="B3476" s="3"/>
    </row>
    <row r="3477" ht="12.75">
      <c r="B3477" s="3"/>
    </row>
    <row r="3478" ht="12.75">
      <c r="B3478" s="3"/>
    </row>
    <row r="3479" ht="12.75">
      <c r="B3479" s="3"/>
    </row>
    <row r="3480" ht="12.75">
      <c r="B3480" s="3"/>
    </row>
    <row r="3481" ht="12.75">
      <c r="B3481" s="3"/>
    </row>
    <row r="3482" ht="12.75">
      <c r="B3482" s="3"/>
    </row>
    <row r="3483" ht="12.75">
      <c r="B3483" s="3"/>
    </row>
    <row r="3484" ht="12.75">
      <c r="B3484" s="3"/>
    </row>
    <row r="3485" ht="12.75">
      <c r="B3485" s="3"/>
    </row>
    <row r="3486" ht="12.75">
      <c r="B3486" s="3"/>
    </row>
    <row r="3487" ht="12.75">
      <c r="B3487" s="3"/>
    </row>
    <row r="3488" ht="12.75">
      <c r="B3488" s="3"/>
    </row>
    <row r="3489" ht="12.75">
      <c r="B3489" s="3"/>
    </row>
    <row r="3490" ht="12.75">
      <c r="B3490" s="3"/>
    </row>
    <row r="3491" ht="12.75">
      <c r="B3491" s="3"/>
    </row>
    <row r="3492" ht="12.75">
      <c r="B3492" s="3"/>
    </row>
    <row r="3493" ht="12.75">
      <c r="B3493" s="3"/>
    </row>
    <row r="3494" ht="12.75">
      <c r="B3494" s="3"/>
    </row>
    <row r="3495" ht="12.75">
      <c r="B3495" s="3"/>
    </row>
    <row r="3496" ht="12.75">
      <c r="B3496" s="3"/>
    </row>
    <row r="3497" ht="12.75">
      <c r="B3497" s="3"/>
    </row>
    <row r="3498" ht="12.75">
      <c r="B3498" s="3"/>
    </row>
    <row r="3499" ht="12.75">
      <c r="B3499" s="3"/>
    </row>
    <row r="3500" ht="12.75">
      <c r="B3500" s="3"/>
    </row>
    <row r="3501" ht="12.75">
      <c r="B3501" s="3"/>
    </row>
    <row r="3502" ht="12.75">
      <c r="B3502" s="3"/>
    </row>
    <row r="3503" ht="12.75">
      <c r="B3503" s="3"/>
    </row>
    <row r="3504" ht="12.75">
      <c r="B3504" s="3"/>
    </row>
    <row r="3505" ht="12.75">
      <c r="B3505" s="3"/>
    </row>
    <row r="3506" ht="12.75">
      <c r="B3506" s="3"/>
    </row>
    <row r="3507" ht="12.75">
      <c r="B3507" s="3"/>
    </row>
    <row r="3508" ht="12.75">
      <c r="B3508" s="3"/>
    </row>
    <row r="3509" ht="12.75">
      <c r="B3509" s="3"/>
    </row>
    <row r="3510" ht="12.75">
      <c r="B3510" s="3"/>
    </row>
    <row r="3511" ht="12.75">
      <c r="B3511" s="3"/>
    </row>
    <row r="3512" ht="12.75">
      <c r="B3512" s="3"/>
    </row>
    <row r="3513" ht="12.75">
      <c r="B3513" s="3"/>
    </row>
    <row r="3514" ht="12.75">
      <c r="B3514" s="3"/>
    </row>
    <row r="3515" ht="12.75">
      <c r="B3515" s="3"/>
    </row>
    <row r="3516" ht="12.75">
      <c r="B3516" s="3"/>
    </row>
    <row r="3517" ht="12.75">
      <c r="B3517" s="3"/>
    </row>
    <row r="3518" ht="12.75">
      <c r="B3518" s="3"/>
    </row>
    <row r="3519" ht="12.75">
      <c r="B3519" s="3"/>
    </row>
    <row r="3520" ht="12.75">
      <c r="B3520" s="3"/>
    </row>
    <row r="3521" ht="12.75">
      <c r="B3521" s="3"/>
    </row>
    <row r="3522" ht="12.75">
      <c r="B3522" s="3"/>
    </row>
    <row r="3523" ht="12.75">
      <c r="B3523" s="3"/>
    </row>
    <row r="3524" ht="12.75">
      <c r="B3524" s="3"/>
    </row>
    <row r="3525" ht="12.75">
      <c r="B3525" s="3"/>
    </row>
    <row r="3526" ht="12.75">
      <c r="B3526" s="3"/>
    </row>
    <row r="3527" ht="12.75">
      <c r="B3527" s="3"/>
    </row>
    <row r="3528" ht="12.75">
      <c r="B3528" s="3"/>
    </row>
    <row r="3529" ht="12.75">
      <c r="B3529" s="3"/>
    </row>
    <row r="3530" ht="12.75">
      <c r="B3530" s="3"/>
    </row>
    <row r="3531" ht="12.75">
      <c r="B3531" s="3"/>
    </row>
    <row r="3532" ht="12.75">
      <c r="B3532" s="3"/>
    </row>
    <row r="3533" ht="12.75">
      <c r="B3533" s="3"/>
    </row>
    <row r="3534" ht="12.75">
      <c r="B3534" s="3"/>
    </row>
    <row r="3535" ht="12.75">
      <c r="B3535" s="3"/>
    </row>
    <row r="3536" ht="12.75">
      <c r="B3536" s="3"/>
    </row>
    <row r="3537" ht="12.75">
      <c r="B3537" s="3"/>
    </row>
    <row r="3538" ht="12.75">
      <c r="B3538" s="3"/>
    </row>
    <row r="3539" ht="12.75">
      <c r="B3539" s="3"/>
    </row>
    <row r="3540" ht="12.75">
      <c r="B3540" s="3"/>
    </row>
    <row r="3541" ht="12.75">
      <c r="B3541" s="3"/>
    </row>
    <row r="3542" ht="12.75">
      <c r="B3542" s="3"/>
    </row>
    <row r="3543" ht="12.75">
      <c r="B3543" s="3"/>
    </row>
    <row r="3544" ht="12.75">
      <c r="B3544" s="3"/>
    </row>
    <row r="3545" ht="12.75">
      <c r="B3545" s="3"/>
    </row>
    <row r="3546" ht="12.75">
      <c r="B3546" s="3"/>
    </row>
    <row r="3547" ht="12.75">
      <c r="B3547" s="3"/>
    </row>
    <row r="3548" ht="12.75">
      <c r="B3548" s="3"/>
    </row>
    <row r="3549" ht="12.75">
      <c r="B3549" s="3"/>
    </row>
    <row r="3550" ht="12.75">
      <c r="B3550" s="3"/>
    </row>
    <row r="3551" ht="12.75">
      <c r="B3551" s="3"/>
    </row>
    <row r="3552" ht="12.75">
      <c r="B3552" s="3"/>
    </row>
    <row r="3553" ht="12.75">
      <c r="B3553" s="3"/>
    </row>
    <row r="3554" ht="12.75">
      <c r="B3554" s="3"/>
    </row>
    <row r="3555" ht="12.75">
      <c r="B3555" s="3"/>
    </row>
    <row r="3556" ht="12.75">
      <c r="B3556" s="3"/>
    </row>
    <row r="3557" ht="12.75">
      <c r="B3557" s="3"/>
    </row>
    <row r="3558" ht="12.75">
      <c r="B3558" s="3"/>
    </row>
    <row r="3559" ht="12.75">
      <c r="B3559" s="3"/>
    </row>
    <row r="3560" ht="12.75">
      <c r="B3560" s="3"/>
    </row>
    <row r="3561" ht="12.75">
      <c r="B3561" s="3"/>
    </row>
    <row r="3562" ht="12.75">
      <c r="B3562" s="3"/>
    </row>
    <row r="3563" ht="12.75">
      <c r="B3563" s="3"/>
    </row>
    <row r="3564" ht="12.75">
      <c r="B3564" s="3"/>
    </row>
    <row r="3565" ht="12.75">
      <c r="B3565" s="3"/>
    </row>
    <row r="3566" ht="12.75">
      <c r="B3566" s="3"/>
    </row>
    <row r="3567" ht="12.75">
      <c r="B3567" s="3"/>
    </row>
    <row r="3568" ht="12.75">
      <c r="B3568" s="3"/>
    </row>
    <row r="3569" ht="12.75">
      <c r="B3569" s="3"/>
    </row>
    <row r="3570" ht="12.75">
      <c r="B3570" s="3"/>
    </row>
    <row r="3571" ht="12.75">
      <c r="B3571" s="3"/>
    </row>
    <row r="3572" ht="12.75">
      <c r="B3572" s="3"/>
    </row>
    <row r="3573" ht="12.75">
      <c r="B3573" s="3"/>
    </row>
    <row r="3574" ht="12.75">
      <c r="B3574" s="3"/>
    </row>
    <row r="3575" ht="12.75">
      <c r="B3575" s="3"/>
    </row>
    <row r="3576" ht="12.75">
      <c r="B3576" s="3"/>
    </row>
    <row r="3577" ht="12.75">
      <c r="B3577" s="3"/>
    </row>
    <row r="3578" ht="12.75">
      <c r="B3578" s="3"/>
    </row>
    <row r="3579" ht="12.75">
      <c r="B3579" s="3"/>
    </row>
    <row r="3580" ht="12.75">
      <c r="B3580" s="3"/>
    </row>
    <row r="3581" ht="12.75">
      <c r="B3581" s="3"/>
    </row>
    <row r="3582" ht="12.75">
      <c r="B3582" s="3"/>
    </row>
    <row r="3583" ht="12.75">
      <c r="B3583" s="3"/>
    </row>
    <row r="3584" ht="12.75">
      <c r="B3584" s="3"/>
    </row>
    <row r="3585" ht="12.75">
      <c r="B3585" s="3"/>
    </row>
    <row r="3586" ht="12.75">
      <c r="B3586" s="3"/>
    </row>
    <row r="3587" ht="12.75">
      <c r="B3587" s="3"/>
    </row>
    <row r="3588" ht="12.75">
      <c r="B3588" s="3"/>
    </row>
    <row r="3589" ht="12.75">
      <c r="B3589" s="3"/>
    </row>
    <row r="3590" ht="12.75">
      <c r="B3590" s="3"/>
    </row>
    <row r="3591" ht="12.75">
      <c r="B3591" s="3"/>
    </row>
    <row r="3592" ht="12.75">
      <c r="B3592" s="3"/>
    </row>
    <row r="3593" ht="12.75">
      <c r="B3593" s="3"/>
    </row>
    <row r="3594" ht="12.75">
      <c r="B3594" s="3"/>
    </row>
    <row r="3595" ht="12.75">
      <c r="B3595" s="3"/>
    </row>
    <row r="3596" ht="12.75">
      <c r="B3596" s="3"/>
    </row>
    <row r="3597" ht="12.75">
      <c r="B3597" s="3"/>
    </row>
    <row r="3598" ht="12.75">
      <c r="B3598" s="3"/>
    </row>
    <row r="3599" ht="12.75">
      <c r="B3599" s="3"/>
    </row>
    <row r="3600" ht="12.75">
      <c r="B3600" s="3"/>
    </row>
    <row r="3601" ht="12.75">
      <c r="B3601" s="3"/>
    </row>
    <row r="3602" ht="12.75">
      <c r="B3602" s="3"/>
    </row>
    <row r="3603" ht="12.75">
      <c r="B3603" s="3"/>
    </row>
    <row r="3604" ht="12.75">
      <c r="B3604" s="3"/>
    </row>
    <row r="3605" ht="12.75">
      <c r="B3605" s="3"/>
    </row>
    <row r="3606" ht="12.75">
      <c r="B3606" s="3"/>
    </row>
    <row r="3607" ht="12.75">
      <c r="B3607" s="3"/>
    </row>
    <row r="3608" ht="12.75">
      <c r="B3608" s="3"/>
    </row>
    <row r="3609" ht="12.75">
      <c r="B3609" s="3"/>
    </row>
    <row r="3610" ht="12.75">
      <c r="B3610" s="3"/>
    </row>
    <row r="3611" ht="12.75">
      <c r="B3611" s="3"/>
    </row>
    <row r="3612" ht="12.75">
      <c r="B3612" s="3"/>
    </row>
    <row r="3613" ht="12.75">
      <c r="B3613" s="3"/>
    </row>
    <row r="3614" ht="12.75">
      <c r="B3614" s="3"/>
    </row>
    <row r="3615" ht="12.75">
      <c r="B3615" s="3"/>
    </row>
    <row r="3616" ht="12.75">
      <c r="B3616" s="3"/>
    </row>
    <row r="3617" ht="12.75">
      <c r="B3617" s="3"/>
    </row>
    <row r="3618" ht="12.75">
      <c r="B3618" s="3"/>
    </row>
    <row r="3619" ht="12.75">
      <c r="B3619" s="3"/>
    </row>
    <row r="3620" ht="12.75">
      <c r="B3620" s="3"/>
    </row>
    <row r="3621" ht="12.75">
      <c r="B3621" s="3"/>
    </row>
    <row r="3622" ht="12.75">
      <c r="B3622" s="3"/>
    </row>
    <row r="3623" ht="12.75">
      <c r="B3623" s="3"/>
    </row>
    <row r="3624" ht="12.75">
      <c r="B3624" s="3"/>
    </row>
    <row r="3625" ht="12.75">
      <c r="B3625" s="3"/>
    </row>
    <row r="3626" ht="12.75">
      <c r="B3626" s="3"/>
    </row>
    <row r="3627" ht="12.75">
      <c r="B3627" s="3"/>
    </row>
    <row r="3628" ht="12.75">
      <c r="B3628" s="3"/>
    </row>
    <row r="3629" ht="12.75">
      <c r="B3629" s="3"/>
    </row>
    <row r="3630" ht="12.75">
      <c r="B3630" s="3"/>
    </row>
    <row r="3631" ht="12.75">
      <c r="B3631" s="3"/>
    </row>
    <row r="3632" ht="12.75">
      <c r="B3632" s="3"/>
    </row>
    <row r="3633" ht="12.75">
      <c r="B3633" s="3"/>
    </row>
    <row r="3634" ht="12.75">
      <c r="B3634" s="3"/>
    </row>
    <row r="3635" ht="12.75">
      <c r="B3635" s="3"/>
    </row>
    <row r="3636" ht="12.75">
      <c r="B3636" s="3"/>
    </row>
    <row r="3637" ht="12.75">
      <c r="B3637" s="3"/>
    </row>
    <row r="3638" ht="12.75">
      <c r="B3638" s="3"/>
    </row>
    <row r="3639" ht="12.75">
      <c r="B3639" s="3"/>
    </row>
    <row r="3640" ht="12.75">
      <c r="B3640" s="3"/>
    </row>
    <row r="3641" ht="12.75">
      <c r="B3641" s="3"/>
    </row>
    <row r="3642" ht="12.75">
      <c r="B3642" s="3"/>
    </row>
    <row r="3643" ht="12.75">
      <c r="B3643" s="3"/>
    </row>
    <row r="3644" ht="12.75">
      <c r="B3644" s="3"/>
    </row>
    <row r="3645" ht="12.75">
      <c r="B3645" s="3"/>
    </row>
    <row r="3646" ht="12.75">
      <c r="B3646" s="3"/>
    </row>
    <row r="3647" ht="12.75">
      <c r="B3647" s="3"/>
    </row>
    <row r="3648" ht="12.75">
      <c r="B3648" s="3"/>
    </row>
    <row r="3649" ht="12.75">
      <c r="B3649" s="3"/>
    </row>
    <row r="3650" ht="12.75">
      <c r="B3650" s="3"/>
    </row>
    <row r="3651" ht="12.75">
      <c r="B3651" s="3"/>
    </row>
    <row r="3652" ht="12.75">
      <c r="B3652" s="3"/>
    </row>
    <row r="3653" ht="12.75">
      <c r="B3653" s="3"/>
    </row>
    <row r="3654" ht="12.75">
      <c r="B3654" s="3"/>
    </row>
    <row r="3655" ht="12.75">
      <c r="B3655" s="3"/>
    </row>
    <row r="3656" ht="12.75">
      <c r="B3656" s="3"/>
    </row>
    <row r="3657" ht="12.75">
      <c r="B3657" s="3"/>
    </row>
    <row r="3658" ht="12.75">
      <c r="B3658" s="3"/>
    </row>
    <row r="3659" ht="12.75">
      <c r="B3659" s="3"/>
    </row>
    <row r="3660" ht="12.75">
      <c r="B3660" s="3"/>
    </row>
    <row r="3661" ht="12.75">
      <c r="B3661" s="3"/>
    </row>
    <row r="3662" ht="12.75">
      <c r="B3662" s="3"/>
    </row>
    <row r="3663" ht="12.75">
      <c r="B3663" s="3"/>
    </row>
    <row r="3664" ht="12.75">
      <c r="B3664" s="3"/>
    </row>
    <row r="3665" ht="12.75">
      <c r="B3665" s="3"/>
    </row>
    <row r="3666" ht="12.75">
      <c r="B3666" s="3"/>
    </row>
    <row r="3667" ht="12.75">
      <c r="B3667" s="3"/>
    </row>
    <row r="3668" ht="12.75">
      <c r="B3668" s="3"/>
    </row>
    <row r="3669" ht="12.75">
      <c r="B3669" s="3"/>
    </row>
    <row r="3670" ht="12.75">
      <c r="B3670" s="3"/>
    </row>
    <row r="3671" ht="12.75">
      <c r="B3671" s="3"/>
    </row>
    <row r="3672" ht="12.75">
      <c r="B3672" s="3"/>
    </row>
    <row r="3673" ht="12.75">
      <c r="B3673" s="3"/>
    </row>
    <row r="3674" ht="12.75">
      <c r="B3674" s="3"/>
    </row>
    <row r="3675" ht="12.75">
      <c r="B3675" s="3"/>
    </row>
    <row r="3676" ht="12.75">
      <c r="B3676" s="3"/>
    </row>
    <row r="3677" ht="12.75">
      <c r="B3677" s="3"/>
    </row>
    <row r="3678" ht="12.75">
      <c r="B3678" s="3"/>
    </row>
    <row r="3679" ht="12.75">
      <c r="B3679" s="3"/>
    </row>
    <row r="3680" ht="12.75">
      <c r="B3680" s="3"/>
    </row>
    <row r="3681" ht="12.75">
      <c r="B3681" s="3"/>
    </row>
    <row r="3682" ht="12.75">
      <c r="B3682" s="3"/>
    </row>
    <row r="3683" ht="12.75">
      <c r="B3683" s="3"/>
    </row>
    <row r="3684" ht="12.75">
      <c r="B3684" s="3"/>
    </row>
    <row r="3685" ht="12.75">
      <c r="B3685" s="3"/>
    </row>
    <row r="3686" ht="12.75">
      <c r="B3686" s="3"/>
    </row>
    <row r="3687" ht="12.75">
      <c r="B3687" s="3"/>
    </row>
    <row r="3688" ht="12.75">
      <c r="B3688" s="3"/>
    </row>
    <row r="3689" ht="12.75">
      <c r="B3689" s="3"/>
    </row>
    <row r="3690" ht="12.75">
      <c r="B3690" s="3"/>
    </row>
    <row r="3691" ht="12.75">
      <c r="B3691" s="3"/>
    </row>
    <row r="3692" ht="12.75">
      <c r="B3692" s="3"/>
    </row>
    <row r="3693" ht="12.75">
      <c r="B3693" s="3"/>
    </row>
    <row r="3694" ht="12.75">
      <c r="B3694" s="3"/>
    </row>
    <row r="3695" ht="12.75">
      <c r="B3695" s="3"/>
    </row>
    <row r="3696" ht="12.75">
      <c r="B3696" s="3"/>
    </row>
    <row r="3697" ht="12.75">
      <c r="B3697" s="3"/>
    </row>
    <row r="3698" ht="12.75">
      <c r="B3698" s="3"/>
    </row>
    <row r="3699" ht="12.75">
      <c r="B3699" s="3"/>
    </row>
    <row r="3700" ht="12.75">
      <c r="B3700" s="3"/>
    </row>
    <row r="3701" ht="12.75">
      <c r="B3701" s="3"/>
    </row>
    <row r="3702" ht="12.75">
      <c r="B3702" s="3"/>
    </row>
    <row r="3703" ht="12.75">
      <c r="B3703" s="3"/>
    </row>
    <row r="3704" ht="12.75">
      <c r="B3704" s="3"/>
    </row>
    <row r="3705" ht="12.75">
      <c r="B3705" s="3"/>
    </row>
    <row r="3706" ht="12.75">
      <c r="B3706" s="3"/>
    </row>
    <row r="3707" ht="12.75">
      <c r="B3707" s="3"/>
    </row>
    <row r="3708" ht="12.75">
      <c r="B3708" s="3"/>
    </row>
    <row r="3709" ht="12.75">
      <c r="B3709" s="3"/>
    </row>
    <row r="3710" ht="12.75">
      <c r="B3710" s="3"/>
    </row>
    <row r="3711" ht="12.75">
      <c r="B3711" s="3"/>
    </row>
    <row r="3712" ht="12.75">
      <c r="B3712" s="3"/>
    </row>
    <row r="3713" ht="12.75">
      <c r="B3713" s="3"/>
    </row>
    <row r="3714" ht="12.75">
      <c r="B3714" s="3"/>
    </row>
    <row r="3715" ht="12.75">
      <c r="B3715" s="3"/>
    </row>
    <row r="3716" ht="12.75">
      <c r="B3716" s="3"/>
    </row>
    <row r="3717" ht="12.75">
      <c r="B3717" s="3"/>
    </row>
    <row r="3718" ht="12.75">
      <c r="B3718" s="3"/>
    </row>
    <row r="3719" ht="12.75">
      <c r="B3719" s="3"/>
    </row>
    <row r="3720" ht="12.75">
      <c r="B3720" s="3"/>
    </row>
    <row r="3721" ht="12.75">
      <c r="B3721" s="3"/>
    </row>
    <row r="3722" ht="12.75">
      <c r="B3722" s="3"/>
    </row>
    <row r="3723" ht="12.75">
      <c r="B3723" s="3"/>
    </row>
    <row r="3724" ht="12.75">
      <c r="B3724" s="3"/>
    </row>
    <row r="3725" ht="12.75">
      <c r="B3725" s="3"/>
    </row>
    <row r="3726" ht="12.75">
      <c r="B3726" s="3"/>
    </row>
    <row r="3727" ht="12.75">
      <c r="B3727" s="3"/>
    </row>
    <row r="3728" ht="12.75">
      <c r="B3728" s="3"/>
    </row>
    <row r="3729" ht="12.75">
      <c r="B3729" s="3"/>
    </row>
    <row r="3730" ht="12.75">
      <c r="B3730" s="3"/>
    </row>
    <row r="3731" ht="12.75">
      <c r="B3731" s="3"/>
    </row>
    <row r="3732" ht="12.75">
      <c r="B3732" s="3"/>
    </row>
    <row r="3733" ht="12.75">
      <c r="B3733" s="3"/>
    </row>
    <row r="3734" ht="12.75">
      <c r="B3734" s="3"/>
    </row>
    <row r="3735" ht="12.75">
      <c r="B3735" s="3"/>
    </row>
    <row r="3736" ht="12.75">
      <c r="B3736" s="3"/>
    </row>
    <row r="3737" ht="12.75">
      <c r="B3737" s="3"/>
    </row>
    <row r="3738" ht="12.75">
      <c r="B3738" s="3"/>
    </row>
    <row r="3739" ht="12.75">
      <c r="B3739" s="3"/>
    </row>
    <row r="3740" ht="12.75">
      <c r="B3740" s="3"/>
    </row>
    <row r="3741" ht="12.75">
      <c r="B3741" s="3"/>
    </row>
    <row r="3742" ht="12.75">
      <c r="B3742" s="3"/>
    </row>
    <row r="3743" ht="12.75">
      <c r="B3743" s="3"/>
    </row>
    <row r="3744" ht="12.75">
      <c r="B3744" s="3"/>
    </row>
    <row r="3745" ht="12.75">
      <c r="B3745" s="3"/>
    </row>
    <row r="3746" ht="12.75">
      <c r="B3746" s="3"/>
    </row>
    <row r="3747" ht="12.75">
      <c r="B3747" s="3"/>
    </row>
    <row r="3748" ht="12.75">
      <c r="B3748" s="3"/>
    </row>
    <row r="3749" ht="12.75">
      <c r="B3749" s="3"/>
    </row>
    <row r="3750" ht="12.75">
      <c r="B3750" s="3"/>
    </row>
    <row r="3751" ht="12.75">
      <c r="B3751" s="3"/>
    </row>
    <row r="3752" ht="12.75">
      <c r="B3752" s="3"/>
    </row>
    <row r="3753" ht="12.75">
      <c r="B3753" s="3"/>
    </row>
    <row r="3754" ht="12.75">
      <c r="B3754" s="3"/>
    </row>
    <row r="3755" ht="12.75">
      <c r="B3755" s="3"/>
    </row>
    <row r="3756" ht="12.75">
      <c r="B3756" s="3"/>
    </row>
    <row r="3757" ht="12.75">
      <c r="B3757" s="3"/>
    </row>
    <row r="3758" ht="12.75">
      <c r="B3758" s="3"/>
    </row>
    <row r="3759" ht="12.75">
      <c r="B3759" s="3"/>
    </row>
    <row r="3760" ht="12.75">
      <c r="B3760" s="3"/>
    </row>
    <row r="3761" ht="12.75">
      <c r="B3761" s="3"/>
    </row>
    <row r="3762" ht="12.75">
      <c r="B3762" s="3"/>
    </row>
    <row r="3763" ht="12.75">
      <c r="B3763" s="3"/>
    </row>
    <row r="3764" ht="12.75">
      <c r="B3764" s="3"/>
    </row>
    <row r="3765" ht="12.75">
      <c r="B3765" s="3"/>
    </row>
    <row r="3766" ht="12.75">
      <c r="B3766" s="3"/>
    </row>
    <row r="3767" ht="12.75">
      <c r="B3767" s="3"/>
    </row>
    <row r="3768" ht="12.75">
      <c r="B3768" s="3"/>
    </row>
    <row r="3769" ht="12.75">
      <c r="B3769" s="3"/>
    </row>
    <row r="3770" ht="12.75">
      <c r="B3770" s="3"/>
    </row>
    <row r="3771" ht="12.75">
      <c r="B3771" s="3"/>
    </row>
    <row r="3772" ht="12.75">
      <c r="B3772" s="3"/>
    </row>
    <row r="3773" ht="12.75">
      <c r="B3773" s="3"/>
    </row>
    <row r="3774" ht="12.75">
      <c r="B3774" s="3"/>
    </row>
    <row r="3775" ht="12.75">
      <c r="B3775" s="3"/>
    </row>
    <row r="3776" ht="12.75">
      <c r="B3776" s="3"/>
    </row>
    <row r="3777" ht="12.75">
      <c r="B3777" s="3"/>
    </row>
    <row r="3778" ht="12.75">
      <c r="B3778" s="3"/>
    </row>
    <row r="3779" ht="12.75">
      <c r="B3779" s="3"/>
    </row>
    <row r="3780" ht="12.75">
      <c r="B3780" s="3"/>
    </row>
    <row r="3781" ht="12.75">
      <c r="B3781" s="3"/>
    </row>
    <row r="3782" ht="12.75">
      <c r="B3782" s="3"/>
    </row>
    <row r="3783" ht="12.75">
      <c r="B3783" s="3"/>
    </row>
    <row r="3784" ht="12.75">
      <c r="B3784" s="3"/>
    </row>
    <row r="3785" ht="12.75">
      <c r="B3785" s="3"/>
    </row>
    <row r="3786" ht="12.75">
      <c r="B3786" s="3"/>
    </row>
    <row r="3787" ht="12.75">
      <c r="B3787" s="3"/>
    </row>
    <row r="3788" ht="12.75">
      <c r="B3788" s="3"/>
    </row>
    <row r="3789" ht="12.75">
      <c r="B3789" s="3"/>
    </row>
    <row r="3790" ht="12.75">
      <c r="B3790" s="3"/>
    </row>
    <row r="3791" ht="12.75">
      <c r="B3791" s="3"/>
    </row>
    <row r="3792" ht="12.75">
      <c r="B3792" s="3"/>
    </row>
    <row r="3793" ht="12.75">
      <c r="B3793" s="3"/>
    </row>
    <row r="3794" ht="12.75">
      <c r="B3794" s="3"/>
    </row>
    <row r="3795" ht="12.75">
      <c r="B3795" s="3"/>
    </row>
    <row r="3796" ht="12.75">
      <c r="B3796" s="3"/>
    </row>
    <row r="3797" ht="12.75">
      <c r="B3797" s="3"/>
    </row>
    <row r="3798" ht="12.75">
      <c r="B3798" s="3"/>
    </row>
    <row r="3799" ht="12.75">
      <c r="B3799" s="3"/>
    </row>
    <row r="3800" ht="12.75">
      <c r="B3800" s="3"/>
    </row>
    <row r="3801" ht="12.75">
      <c r="B3801" s="3"/>
    </row>
    <row r="3802" ht="12.75">
      <c r="B3802" s="3"/>
    </row>
    <row r="3803" ht="12.75">
      <c r="B3803" s="3"/>
    </row>
    <row r="3804" ht="12.75">
      <c r="B3804" s="3"/>
    </row>
    <row r="3805" ht="12.75">
      <c r="B3805" s="3"/>
    </row>
    <row r="3806" ht="12.75">
      <c r="B3806" s="3"/>
    </row>
    <row r="3807" ht="12.75">
      <c r="B3807" s="3"/>
    </row>
    <row r="3808" ht="12.75">
      <c r="B3808" s="3"/>
    </row>
    <row r="3809" ht="12.75">
      <c r="B3809" s="3"/>
    </row>
    <row r="3810" ht="12.75">
      <c r="B3810" s="3"/>
    </row>
    <row r="3811" ht="12.75">
      <c r="B3811" s="3"/>
    </row>
    <row r="3812" ht="12.75">
      <c r="B3812" s="3"/>
    </row>
    <row r="3813" ht="12.75">
      <c r="B3813" s="3"/>
    </row>
    <row r="3814" ht="12.75">
      <c r="B3814" s="3"/>
    </row>
    <row r="3815" ht="12.75">
      <c r="B3815" s="3"/>
    </row>
    <row r="3816" ht="12.75">
      <c r="B3816" s="3"/>
    </row>
    <row r="3817" ht="12.75">
      <c r="B3817" s="3"/>
    </row>
    <row r="3818" ht="12.75">
      <c r="B3818" s="3"/>
    </row>
    <row r="3819" ht="12.75">
      <c r="B3819" s="3"/>
    </row>
    <row r="3820" ht="12.75">
      <c r="B3820" s="3"/>
    </row>
    <row r="3821" ht="12.75">
      <c r="B3821" s="3"/>
    </row>
    <row r="3822" ht="12.75">
      <c r="B3822" s="3"/>
    </row>
    <row r="3823" ht="12.75">
      <c r="B3823" s="3"/>
    </row>
    <row r="3824" ht="12.75">
      <c r="B3824" s="3"/>
    </row>
    <row r="3825" ht="12.75">
      <c r="B3825" s="3"/>
    </row>
    <row r="3826" ht="12.75">
      <c r="B3826" s="3"/>
    </row>
    <row r="3827" ht="12.75">
      <c r="B3827" s="3"/>
    </row>
    <row r="3828" ht="12.75">
      <c r="B3828" s="3"/>
    </row>
    <row r="3829" ht="12.75">
      <c r="B3829" s="3"/>
    </row>
    <row r="3830" ht="12.75">
      <c r="B3830" s="3"/>
    </row>
    <row r="3831" ht="12.75">
      <c r="B3831" s="3"/>
    </row>
    <row r="3832" ht="12.75">
      <c r="B3832" s="3"/>
    </row>
    <row r="3833" ht="12.75">
      <c r="B3833" s="3"/>
    </row>
    <row r="3834" ht="12.75">
      <c r="B3834" s="3"/>
    </row>
    <row r="3835" ht="12.75">
      <c r="B3835" s="3"/>
    </row>
    <row r="3836" ht="12.75">
      <c r="B3836" s="3"/>
    </row>
    <row r="3837" ht="12.75">
      <c r="B3837" s="3"/>
    </row>
    <row r="3838" ht="12.75">
      <c r="B3838" s="3"/>
    </row>
    <row r="3839" ht="12.75">
      <c r="B3839" s="3"/>
    </row>
    <row r="3840" ht="12.75">
      <c r="B3840" s="3"/>
    </row>
    <row r="3841" ht="12.75">
      <c r="B3841" s="3"/>
    </row>
    <row r="3842" ht="12.75">
      <c r="B3842" s="3"/>
    </row>
    <row r="3843" ht="12.75">
      <c r="B3843" s="3"/>
    </row>
    <row r="3844" ht="12.75">
      <c r="B3844" s="3"/>
    </row>
    <row r="3845" ht="12.75">
      <c r="B3845" s="3"/>
    </row>
    <row r="3846" ht="12.75">
      <c r="B3846" s="3"/>
    </row>
    <row r="3847" ht="12.75">
      <c r="B3847" s="3"/>
    </row>
    <row r="3848" ht="12.75">
      <c r="B3848" s="3"/>
    </row>
    <row r="3849" ht="12.75">
      <c r="B3849" s="3"/>
    </row>
    <row r="3850" ht="12.75">
      <c r="B3850" s="3"/>
    </row>
    <row r="3851" ht="12.75">
      <c r="B3851" s="3"/>
    </row>
    <row r="3852" ht="12.75">
      <c r="B3852" s="3"/>
    </row>
    <row r="3853" ht="12.75">
      <c r="B3853" s="3"/>
    </row>
    <row r="3854" ht="12.75">
      <c r="B3854" s="3"/>
    </row>
    <row r="3855" ht="12.75">
      <c r="B3855" s="3"/>
    </row>
    <row r="3856" ht="12.75">
      <c r="B3856" s="3"/>
    </row>
    <row r="3857" ht="12.75">
      <c r="B3857" s="3"/>
    </row>
    <row r="3858" ht="12.75">
      <c r="B3858" s="3"/>
    </row>
    <row r="3859" ht="12.75">
      <c r="B3859" s="3"/>
    </row>
    <row r="3860" ht="12.75">
      <c r="B3860" s="3"/>
    </row>
    <row r="3861" ht="12.75">
      <c r="B3861" s="3"/>
    </row>
    <row r="3862" ht="12.75">
      <c r="B3862" s="3"/>
    </row>
    <row r="3863" ht="12.75">
      <c r="B3863" s="3"/>
    </row>
    <row r="3864" ht="12.75">
      <c r="B3864" s="3"/>
    </row>
    <row r="3865" ht="12.75">
      <c r="B3865" s="3"/>
    </row>
    <row r="3866" ht="12.75">
      <c r="B3866" s="3"/>
    </row>
    <row r="3867" ht="12.75">
      <c r="B3867" s="3"/>
    </row>
    <row r="3868" ht="12.75">
      <c r="B3868" s="3"/>
    </row>
    <row r="3869" ht="12.75">
      <c r="B3869" s="3"/>
    </row>
    <row r="3870" ht="12.75">
      <c r="B3870" s="3"/>
    </row>
    <row r="3871" ht="12.75">
      <c r="B3871" s="3"/>
    </row>
    <row r="3872" ht="12.75">
      <c r="B3872" s="3"/>
    </row>
    <row r="3873" ht="12.75">
      <c r="B3873" s="3"/>
    </row>
    <row r="3874" ht="12.75">
      <c r="B3874" s="3"/>
    </row>
    <row r="3875" ht="12.75">
      <c r="B3875" s="3"/>
    </row>
    <row r="3876" ht="12.75">
      <c r="B3876" s="3"/>
    </row>
    <row r="3877" ht="12.75">
      <c r="B3877" s="3"/>
    </row>
    <row r="3878" ht="12.75">
      <c r="B3878" s="3"/>
    </row>
    <row r="3879" ht="12.75">
      <c r="B3879" s="3"/>
    </row>
    <row r="3880" ht="12.75">
      <c r="B3880" s="3"/>
    </row>
    <row r="3881" ht="12.75">
      <c r="B3881" s="3"/>
    </row>
    <row r="3882" ht="12.75">
      <c r="B3882" s="3"/>
    </row>
    <row r="3883" ht="12.75">
      <c r="B3883" s="3"/>
    </row>
    <row r="3884" ht="12.75">
      <c r="B3884" s="3"/>
    </row>
    <row r="3885" ht="12.75">
      <c r="B3885" s="3"/>
    </row>
    <row r="3886" ht="12.75">
      <c r="B3886" s="3"/>
    </row>
    <row r="3887" ht="12.75">
      <c r="B3887" s="3"/>
    </row>
    <row r="3888" ht="12.75">
      <c r="B3888" s="3"/>
    </row>
    <row r="3889" ht="12.75">
      <c r="B3889" s="3"/>
    </row>
    <row r="3890" ht="12.75">
      <c r="B3890" s="3"/>
    </row>
    <row r="3891" ht="12.75">
      <c r="B3891" s="3"/>
    </row>
    <row r="3892" ht="12.75">
      <c r="B3892" s="3"/>
    </row>
    <row r="3893" ht="12.75">
      <c r="B3893" s="3"/>
    </row>
    <row r="3894" ht="12.75">
      <c r="B3894" s="3"/>
    </row>
    <row r="3895" ht="12.75">
      <c r="B3895" s="3"/>
    </row>
    <row r="3896" ht="12.75">
      <c r="B3896" s="3"/>
    </row>
    <row r="3897" ht="12.75">
      <c r="B3897" s="3"/>
    </row>
    <row r="3898" ht="12.75">
      <c r="B3898" s="3"/>
    </row>
    <row r="3899" ht="12.75">
      <c r="B3899" s="3"/>
    </row>
    <row r="3900" ht="12.75">
      <c r="B3900" s="3"/>
    </row>
    <row r="3901" ht="12.75">
      <c r="B3901" s="3"/>
    </row>
    <row r="3902" ht="12.75">
      <c r="B3902" s="3"/>
    </row>
    <row r="3903" ht="12.75">
      <c r="B3903" s="3"/>
    </row>
    <row r="3904" ht="12.75">
      <c r="B3904" s="3"/>
    </row>
    <row r="3905" ht="12.75">
      <c r="B3905" s="3"/>
    </row>
    <row r="3906" ht="12.75">
      <c r="B3906" s="3"/>
    </row>
    <row r="3907" ht="12.75">
      <c r="B3907" s="3"/>
    </row>
    <row r="3908" ht="12.75">
      <c r="B3908" s="3"/>
    </row>
    <row r="3909" ht="12.75">
      <c r="B3909" s="3"/>
    </row>
    <row r="3910" ht="12.75">
      <c r="B3910" s="3"/>
    </row>
    <row r="3911" ht="12.75">
      <c r="B3911" s="3"/>
    </row>
    <row r="3912" ht="12.75">
      <c r="B3912" s="3"/>
    </row>
    <row r="3913" ht="12.75">
      <c r="B3913" s="3"/>
    </row>
    <row r="3914" ht="12.75">
      <c r="B3914" s="3"/>
    </row>
    <row r="3915" ht="12.75">
      <c r="B3915" s="3"/>
    </row>
    <row r="3916" ht="12.75">
      <c r="B3916" s="3"/>
    </row>
    <row r="3917" ht="12.75">
      <c r="B3917" s="3"/>
    </row>
    <row r="3918" ht="12.75">
      <c r="B3918" s="3"/>
    </row>
    <row r="3919" ht="12.75">
      <c r="B3919" s="3"/>
    </row>
    <row r="3920" ht="12.75">
      <c r="B3920" s="3"/>
    </row>
    <row r="3921" ht="12.75">
      <c r="B3921" s="3"/>
    </row>
    <row r="3922" ht="12.75">
      <c r="B3922" s="3"/>
    </row>
    <row r="3923" ht="12.75">
      <c r="B3923" s="3"/>
    </row>
    <row r="3924" ht="12.75">
      <c r="B3924" s="3"/>
    </row>
    <row r="3925" ht="12.75">
      <c r="B3925" s="3"/>
    </row>
    <row r="3926" ht="12.75">
      <c r="B3926" s="3"/>
    </row>
    <row r="3927" ht="12.75">
      <c r="B3927" s="3"/>
    </row>
    <row r="3928" ht="12.75">
      <c r="B3928" s="3"/>
    </row>
    <row r="3929" ht="12.75">
      <c r="B3929" s="3"/>
    </row>
    <row r="3930" ht="12.75">
      <c r="B3930" s="3"/>
    </row>
    <row r="3931" ht="12.75">
      <c r="B3931" s="3"/>
    </row>
    <row r="3932" ht="12.75">
      <c r="B3932" s="3"/>
    </row>
    <row r="3933" ht="12.75">
      <c r="B3933" s="3"/>
    </row>
    <row r="3934" ht="12.75">
      <c r="B3934" s="3"/>
    </row>
    <row r="3935" ht="12.75">
      <c r="B3935" s="3"/>
    </row>
    <row r="3936" ht="12.75">
      <c r="B3936" s="3"/>
    </row>
    <row r="3937" ht="12.75">
      <c r="B3937" s="3"/>
    </row>
    <row r="3938" ht="12.75">
      <c r="B3938" s="3"/>
    </row>
    <row r="3939" ht="12.75">
      <c r="B3939" s="3"/>
    </row>
    <row r="3940" ht="12.75">
      <c r="B3940" s="3"/>
    </row>
    <row r="3941" ht="12.75">
      <c r="B3941" s="3"/>
    </row>
    <row r="3942" ht="12.75">
      <c r="B3942" s="3"/>
    </row>
    <row r="3943" ht="12.75">
      <c r="B3943" s="3"/>
    </row>
    <row r="3944" ht="12.75">
      <c r="B3944" s="3"/>
    </row>
    <row r="3945" ht="12.75">
      <c r="B3945" s="3"/>
    </row>
    <row r="3946" ht="12.75">
      <c r="B3946" s="3"/>
    </row>
    <row r="3947" ht="12.75">
      <c r="B3947" s="3"/>
    </row>
    <row r="3948" ht="12.75">
      <c r="B3948" s="3"/>
    </row>
    <row r="3949" ht="12.75">
      <c r="B3949" s="3"/>
    </row>
    <row r="3950" ht="12.75">
      <c r="B3950" s="3"/>
    </row>
    <row r="3951" ht="12.75">
      <c r="B3951" s="3"/>
    </row>
    <row r="3952" ht="12.75">
      <c r="B3952" s="3"/>
    </row>
    <row r="3953" ht="12.75">
      <c r="B3953" s="3"/>
    </row>
    <row r="3954" ht="12.75">
      <c r="B3954" s="3"/>
    </row>
    <row r="3955" ht="12.75">
      <c r="B3955" s="3"/>
    </row>
    <row r="3956" ht="12.75">
      <c r="B3956" s="3"/>
    </row>
    <row r="3957" ht="12.75">
      <c r="B3957" s="3"/>
    </row>
    <row r="3958" ht="12.75">
      <c r="B3958" s="3"/>
    </row>
    <row r="3959" ht="12.75">
      <c r="B3959" s="3"/>
    </row>
    <row r="3960" ht="12.75">
      <c r="B3960" s="3"/>
    </row>
    <row r="3961" ht="12.75">
      <c r="B3961" s="3"/>
    </row>
    <row r="3962" ht="12.75">
      <c r="B3962" s="3"/>
    </row>
    <row r="3963" ht="12.75">
      <c r="B3963" s="3"/>
    </row>
    <row r="3964" ht="12.75">
      <c r="B3964" s="3"/>
    </row>
    <row r="3965" ht="12.75">
      <c r="B3965" s="3"/>
    </row>
    <row r="3966" ht="12.75">
      <c r="B3966" s="3"/>
    </row>
    <row r="3967" ht="12.75">
      <c r="B3967" s="3"/>
    </row>
    <row r="3968" ht="12.75">
      <c r="B3968" s="3"/>
    </row>
    <row r="3969" ht="12.75">
      <c r="B3969" s="3"/>
    </row>
    <row r="3970" ht="12.75">
      <c r="B3970" s="3"/>
    </row>
    <row r="3971" ht="12.75">
      <c r="B3971" s="3"/>
    </row>
    <row r="3972" ht="12.75">
      <c r="B3972" s="3"/>
    </row>
    <row r="3973" ht="12.75">
      <c r="B3973" s="3"/>
    </row>
    <row r="3974" ht="12.75">
      <c r="B3974" s="3"/>
    </row>
    <row r="3975" ht="12.75">
      <c r="B3975" s="3"/>
    </row>
    <row r="3976" ht="12.75">
      <c r="B3976" s="3"/>
    </row>
    <row r="3977" ht="12.75">
      <c r="B3977" s="3"/>
    </row>
    <row r="3978" ht="12.75">
      <c r="B3978" s="3"/>
    </row>
    <row r="3979" ht="12.75">
      <c r="B3979" s="3"/>
    </row>
    <row r="3980" ht="12.75">
      <c r="B3980" s="3"/>
    </row>
    <row r="3981" ht="12.75">
      <c r="B3981" s="3"/>
    </row>
    <row r="3982" ht="12.75">
      <c r="B3982" s="3"/>
    </row>
    <row r="3983" ht="12.75">
      <c r="B3983" s="3"/>
    </row>
    <row r="3984" ht="12.75">
      <c r="B3984" s="3"/>
    </row>
    <row r="3985" ht="12.75">
      <c r="B3985" s="3"/>
    </row>
    <row r="3986" ht="12.75">
      <c r="B3986" s="3"/>
    </row>
    <row r="3987" ht="12.75">
      <c r="B3987" s="3"/>
    </row>
    <row r="3988" ht="12.75">
      <c r="B3988" s="3"/>
    </row>
    <row r="3989" ht="12.75">
      <c r="B3989" s="3"/>
    </row>
    <row r="3990" ht="12.75">
      <c r="B3990" s="3"/>
    </row>
    <row r="3991" ht="12.75">
      <c r="B3991" s="3"/>
    </row>
    <row r="3992" ht="12.75">
      <c r="B3992" s="3"/>
    </row>
    <row r="3993" ht="12.75">
      <c r="B3993" s="3"/>
    </row>
    <row r="3994" ht="12.75">
      <c r="B3994" s="3"/>
    </row>
    <row r="3995" ht="12.75">
      <c r="B3995" s="3"/>
    </row>
    <row r="3996" ht="12.75">
      <c r="B3996" s="3"/>
    </row>
    <row r="3997" ht="12.75">
      <c r="B3997" s="3"/>
    </row>
    <row r="3998" ht="12.75">
      <c r="B3998" s="3"/>
    </row>
    <row r="3999" ht="12.75">
      <c r="B3999" s="3"/>
    </row>
    <row r="4000" ht="12.75">
      <c r="B4000" s="3"/>
    </row>
    <row r="4001" ht="12.75">
      <c r="B4001" s="3"/>
    </row>
    <row r="4002" ht="12.75">
      <c r="B4002" s="3"/>
    </row>
    <row r="4003" ht="12.75">
      <c r="B4003" s="3"/>
    </row>
    <row r="4004" ht="12.75">
      <c r="B4004" s="3"/>
    </row>
    <row r="4005" ht="12.75">
      <c r="B4005" s="3"/>
    </row>
    <row r="4006" ht="12.75">
      <c r="B4006" s="3"/>
    </row>
    <row r="4007" ht="12.75">
      <c r="B4007" s="3"/>
    </row>
    <row r="4008" ht="12.75">
      <c r="B4008" s="3"/>
    </row>
    <row r="4009" ht="12.75">
      <c r="B4009" s="3"/>
    </row>
    <row r="4010" ht="12.75">
      <c r="B4010" s="3"/>
    </row>
    <row r="4011" ht="12.75">
      <c r="B4011" s="3"/>
    </row>
    <row r="4012" ht="12.75">
      <c r="B4012" s="3"/>
    </row>
    <row r="4013" ht="12.75">
      <c r="B4013" s="3"/>
    </row>
    <row r="4014" ht="12.75">
      <c r="B4014" s="3"/>
    </row>
    <row r="4015" ht="12.75">
      <c r="B4015" s="3"/>
    </row>
    <row r="4016" ht="12.75">
      <c r="B4016" s="3"/>
    </row>
    <row r="4017" ht="12.75">
      <c r="B4017" s="3"/>
    </row>
    <row r="4018" ht="12.75">
      <c r="B4018" s="3"/>
    </row>
    <row r="4019" ht="12.75">
      <c r="B4019" s="3"/>
    </row>
    <row r="4020" ht="12.75">
      <c r="B4020" s="3"/>
    </row>
    <row r="4021" ht="12.75">
      <c r="B4021" s="3"/>
    </row>
    <row r="4022" ht="12.75">
      <c r="B4022" s="3"/>
    </row>
    <row r="4023" ht="12.75">
      <c r="B4023" s="3"/>
    </row>
    <row r="4024" ht="12.75">
      <c r="B4024" s="3"/>
    </row>
    <row r="4025" ht="12.75">
      <c r="B4025" s="3"/>
    </row>
    <row r="4026" ht="12.75">
      <c r="B4026" s="3"/>
    </row>
    <row r="4027" ht="12.75">
      <c r="B4027" s="3"/>
    </row>
    <row r="4028" ht="12.75">
      <c r="B4028" s="3"/>
    </row>
    <row r="4029" ht="12.75">
      <c r="B4029" s="3"/>
    </row>
    <row r="4030" ht="12.75">
      <c r="B4030" s="3"/>
    </row>
    <row r="4031" ht="12.75">
      <c r="B4031" s="3"/>
    </row>
    <row r="4032" ht="12.75">
      <c r="B4032" s="3"/>
    </row>
    <row r="4033" ht="12.75">
      <c r="B4033" s="3"/>
    </row>
    <row r="4034" ht="12.75">
      <c r="B4034" s="3"/>
    </row>
    <row r="4035" ht="12.75">
      <c r="B4035" s="3"/>
    </row>
    <row r="4036" ht="12.75">
      <c r="B4036" s="3"/>
    </row>
    <row r="4037" ht="12.75">
      <c r="B4037" s="3"/>
    </row>
    <row r="4038" ht="12.75">
      <c r="B4038" s="3"/>
    </row>
    <row r="4039" ht="12.75">
      <c r="B4039" s="3"/>
    </row>
    <row r="4040" ht="12.75">
      <c r="B4040" s="3"/>
    </row>
    <row r="4041" ht="12.75">
      <c r="B4041" s="3"/>
    </row>
    <row r="4042" ht="12.75">
      <c r="B4042" s="3"/>
    </row>
    <row r="4043" ht="12.75">
      <c r="B4043" s="3"/>
    </row>
    <row r="4044" ht="12.75">
      <c r="B4044" s="3"/>
    </row>
    <row r="4045" ht="12.75">
      <c r="B4045" s="3"/>
    </row>
    <row r="4046" ht="12.75">
      <c r="B4046" s="3"/>
    </row>
    <row r="4047" ht="12.75">
      <c r="B4047" s="3"/>
    </row>
    <row r="4048" ht="12.75">
      <c r="B4048" s="3"/>
    </row>
    <row r="4049" ht="12.75">
      <c r="B4049" s="3"/>
    </row>
    <row r="4050" ht="12.75">
      <c r="B4050" s="3"/>
    </row>
    <row r="4051" ht="12.75">
      <c r="B4051" s="3"/>
    </row>
    <row r="4052" ht="12.75">
      <c r="B4052" s="3"/>
    </row>
    <row r="4053" ht="12.75">
      <c r="B4053" s="3"/>
    </row>
    <row r="4054" ht="12.75">
      <c r="B4054" s="3"/>
    </row>
    <row r="4055" ht="12.75">
      <c r="B4055" s="3"/>
    </row>
    <row r="4056" ht="12.75">
      <c r="B4056" s="3"/>
    </row>
    <row r="4057" ht="12.75">
      <c r="B4057" s="3"/>
    </row>
    <row r="4058" ht="12.75">
      <c r="B4058" s="3"/>
    </row>
    <row r="4059" ht="12.75">
      <c r="B4059" s="3"/>
    </row>
    <row r="4060" ht="12.75">
      <c r="B4060" s="3"/>
    </row>
    <row r="4061" ht="12.75">
      <c r="B4061" s="3"/>
    </row>
    <row r="4062" ht="12.75">
      <c r="B4062" s="3"/>
    </row>
    <row r="4063" ht="12.75">
      <c r="B4063" s="3"/>
    </row>
    <row r="4064" ht="12.75">
      <c r="B4064" s="3"/>
    </row>
    <row r="4065" ht="12.75">
      <c r="B4065" s="3"/>
    </row>
    <row r="4066" ht="12.75">
      <c r="B4066" s="3"/>
    </row>
    <row r="4067" ht="12.75">
      <c r="B4067" s="3"/>
    </row>
    <row r="4068" ht="12.75">
      <c r="B4068" s="3"/>
    </row>
    <row r="4069" ht="12.75">
      <c r="B4069" s="3"/>
    </row>
    <row r="4070" ht="12.75">
      <c r="B4070" s="3"/>
    </row>
    <row r="4071" ht="12.75">
      <c r="B4071" s="3"/>
    </row>
    <row r="4072" ht="12.75">
      <c r="B4072" s="3"/>
    </row>
    <row r="4073" ht="12.75">
      <c r="B4073" s="3"/>
    </row>
    <row r="4074" ht="12.75">
      <c r="B4074" s="3"/>
    </row>
    <row r="4075" ht="12.75">
      <c r="B4075" s="3"/>
    </row>
    <row r="4076" ht="12.75">
      <c r="B4076" s="3"/>
    </row>
    <row r="4077" ht="12.75">
      <c r="B4077" s="3"/>
    </row>
    <row r="4078" ht="12.75">
      <c r="B4078" s="3"/>
    </row>
    <row r="4079" ht="12.75">
      <c r="B4079" s="3"/>
    </row>
    <row r="4080" ht="12.75">
      <c r="B4080" s="3"/>
    </row>
    <row r="4081" ht="12.75">
      <c r="B4081" s="3"/>
    </row>
    <row r="4082" ht="12.75">
      <c r="B4082" s="3"/>
    </row>
    <row r="4083" ht="12.75">
      <c r="B4083" s="3"/>
    </row>
    <row r="4084" ht="12.75">
      <c r="B4084" s="3"/>
    </row>
    <row r="4085" ht="12.75">
      <c r="B4085" s="3"/>
    </row>
    <row r="4086" ht="12.75">
      <c r="B4086" s="3"/>
    </row>
    <row r="4087" ht="12.75">
      <c r="B4087" s="3"/>
    </row>
    <row r="4088" ht="12.75">
      <c r="B4088" s="3"/>
    </row>
    <row r="4089" ht="12.75">
      <c r="B4089" s="3"/>
    </row>
    <row r="4090" ht="12.75">
      <c r="B4090" s="3"/>
    </row>
    <row r="4091" ht="12.75">
      <c r="B4091" s="3"/>
    </row>
    <row r="4092" ht="12.75">
      <c r="B4092" s="3"/>
    </row>
    <row r="4093" ht="12.75">
      <c r="B4093" s="3"/>
    </row>
    <row r="4094" ht="12.75">
      <c r="B4094" s="3"/>
    </row>
    <row r="4095" ht="12.75">
      <c r="B4095" s="3"/>
    </row>
    <row r="4096" ht="12.75">
      <c r="B4096" s="3"/>
    </row>
    <row r="4097" ht="12.75">
      <c r="B4097" s="3"/>
    </row>
    <row r="4098" ht="12.75">
      <c r="B4098" s="3"/>
    </row>
    <row r="4099" ht="12.75">
      <c r="B4099" s="3"/>
    </row>
    <row r="4100" ht="12.75">
      <c r="B4100" s="3"/>
    </row>
    <row r="4101" ht="12.75">
      <c r="B4101" s="3"/>
    </row>
    <row r="4102" ht="12.75">
      <c r="B4102" s="3"/>
    </row>
    <row r="4103" ht="12.75">
      <c r="B4103" s="3"/>
    </row>
    <row r="4104" ht="12.75">
      <c r="B4104" s="3"/>
    </row>
    <row r="4105" ht="12.75">
      <c r="B4105" s="3"/>
    </row>
    <row r="4106" ht="12.75">
      <c r="B4106" s="3"/>
    </row>
    <row r="4107" ht="12.75">
      <c r="B4107" s="3"/>
    </row>
    <row r="4108" ht="12.75">
      <c r="B4108" s="3"/>
    </row>
    <row r="4109" ht="12.75">
      <c r="B4109" s="3"/>
    </row>
    <row r="4110" ht="12.75">
      <c r="B4110" s="3"/>
    </row>
    <row r="4111" ht="12.75">
      <c r="B4111" s="3"/>
    </row>
    <row r="4112" ht="12.75">
      <c r="B4112" s="3"/>
    </row>
    <row r="4113" ht="12.75">
      <c r="B4113" s="3"/>
    </row>
    <row r="4114" ht="12.75">
      <c r="B4114" s="3"/>
    </row>
    <row r="4115" ht="12.75">
      <c r="B4115" s="3"/>
    </row>
    <row r="4116" ht="12.75">
      <c r="B4116" s="3"/>
    </row>
    <row r="4117" ht="12.75">
      <c r="B4117" s="3"/>
    </row>
    <row r="4118" ht="12.75">
      <c r="B4118" s="3"/>
    </row>
    <row r="4119" ht="12.75">
      <c r="B4119" s="3"/>
    </row>
    <row r="4120" ht="12.75">
      <c r="B4120" s="3"/>
    </row>
    <row r="4121" ht="12.75">
      <c r="B4121" s="3"/>
    </row>
    <row r="4122" ht="12.75">
      <c r="B4122" s="3"/>
    </row>
    <row r="4123" ht="12.75">
      <c r="B4123" s="3"/>
    </row>
    <row r="4124" ht="12.75">
      <c r="B4124" s="3"/>
    </row>
    <row r="4125" ht="12.75">
      <c r="B4125" s="3"/>
    </row>
    <row r="4126" ht="12.75">
      <c r="B4126" s="3"/>
    </row>
    <row r="4127" ht="12.75">
      <c r="B4127" s="3"/>
    </row>
    <row r="4128" ht="12.75">
      <c r="B4128" s="3"/>
    </row>
    <row r="4129" ht="12.75">
      <c r="B4129" s="3"/>
    </row>
    <row r="4130" ht="12.75">
      <c r="B4130" s="3"/>
    </row>
    <row r="4131" ht="12.75">
      <c r="B4131" s="3"/>
    </row>
    <row r="4132" ht="12.75">
      <c r="B4132" s="3"/>
    </row>
    <row r="4133" ht="12.75">
      <c r="B4133" s="3"/>
    </row>
    <row r="4134" ht="12.75">
      <c r="B4134" s="3"/>
    </row>
    <row r="4135" ht="12.75">
      <c r="B4135" s="3"/>
    </row>
    <row r="4136" ht="12.75">
      <c r="B4136" s="3"/>
    </row>
    <row r="4137" ht="12.75">
      <c r="B4137" s="3"/>
    </row>
    <row r="4138" ht="12.75">
      <c r="B4138" s="3"/>
    </row>
    <row r="4139" ht="12.75">
      <c r="B4139" s="3"/>
    </row>
    <row r="4140" ht="12.75">
      <c r="B4140" s="3"/>
    </row>
    <row r="4141" ht="12.75">
      <c r="B4141" s="3"/>
    </row>
    <row r="4142" ht="12.75">
      <c r="B4142" s="3"/>
    </row>
    <row r="4143" ht="12.75">
      <c r="B4143" s="3"/>
    </row>
    <row r="4144" ht="12.75">
      <c r="B4144" s="3"/>
    </row>
    <row r="4145" ht="12.75">
      <c r="B4145" s="3"/>
    </row>
    <row r="4146" ht="12.75">
      <c r="B4146" s="3"/>
    </row>
    <row r="4147" ht="12.75">
      <c r="B4147" s="3"/>
    </row>
    <row r="4148" ht="12.75">
      <c r="B4148" s="3"/>
    </row>
    <row r="4149" ht="12.75">
      <c r="B4149" s="3"/>
    </row>
    <row r="4150" ht="12.75">
      <c r="B4150" s="3"/>
    </row>
    <row r="4151" ht="12.75">
      <c r="B4151" s="3"/>
    </row>
    <row r="4152" ht="12.75">
      <c r="B4152" s="3"/>
    </row>
    <row r="4153" ht="12.75">
      <c r="B4153" s="3"/>
    </row>
    <row r="4154" ht="12.75">
      <c r="B4154" s="3"/>
    </row>
    <row r="4155" ht="12.75">
      <c r="B4155" s="3"/>
    </row>
    <row r="4156" ht="12.75">
      <c r="B4156" s="3"/>
    </row>
    <row r="4157" ht="12.75">
      <c r="B4157" s="3"/>
    </row>
    <row r="4158" ht="12.75">
      <c r="B4158" s="3"/>
    </row>
    <row r="4159" ht="12.75">
      <c r="B4159" s="3"/>
    </row>
    <row r="4160" ht="12.75">
      <c r="B4160" s="3"/>
    </row>
    <row r="4161" ht="12.75">
      <c r="B4161" s="3"/>
    </row>
    <row r="4162" ht="12.75">
      <c r="B4162" s="3"/>
    </row>
    <row r="4163" ht="12.75">
      <c r="B4163" s="3"/>
    </row>
    <row r="4164" ht="12.75">
      <c r="B4164" s="3"/>
    </row>
    <row r="4165" ht="12.75">
      <c r="B4165" s="3"/>
    </row>
    <row r="4166" ht="12.75">
      <c r="B4166" s="3"/>
    </row>
    <row r="4167" ht="12.75">
      <c r="B4167" s="3"/>
    </row>
    <row r="4168" ht="12.75">
      <c r="B4168" s="3"/>
    </row>
    <row r="4169" ht="12.75">
      <c r="B4169" s="3"/>
    </row>
    <row r="4170" ht="12.75">
      <c r="B4170" s="3"/>
    </row>
    <row r="4171" ht="12.75">
      <c r="B4171" s="3"/>
    </row>
    <row r="4172" ht="12.75">
      <c r="B4172" s="3"/>
    </row>
    <row r="4173" ht="12.75">
      <c r="B4173" s="3"/>
    </row>
    <row r="4174" ht="12.75">
      <c r="B4174" s="3"/>
    </row>
    <row r="4175" ht="12.75">
      <c r="B4175" s="3"/>
    </row>
    <row r="4176" ht="12.75">
      <c r="B4176" s="3"/>
    </row>
    <row r="4177" ht="12.75">
      <c r="B4177" s="3"/>
    </row>
    <row r="4178" ht="12.75">
      <c r="B4178" s="3"/>
    </row>
    <row r="4179" ht="12.75">
      <c r="B4179" s="3"/>
    </row>
    <row r="4180" ht="12.75">
      <c r="B4180" s="3"/>
    </row>
    <row r="4181" ht="12.75">
      <c r="B4181" s="3"/>
    </row>
    <row r="4182" ht="12.75">
      <c r="B4182" s="3"/>
    </row>
    <row r="4183" ht="12.75">
      <c r="B4183" s="3"/>
    </row>
    <row r="4184" ht="12.75">
      <c r="B4184" s="3"/>
    </row>
    <row r="4185" ht="12.75">
      <c r="B4185" s="3"/>
    </row>
    <row r="4186" ht="12.75">
      <c r="B4186" s="3"/>
    </row>
    <row r="4187" ht="12.75">
      <c r="B4187" s="3"/>
    </row>
    <row r="4188" ht="12.75">
      <c r="B4188" s="3"/>
    </row>
    <row r="4189" ht="12.75">
      <c r="B4189" s="3"/>
    </row>
    <row r="4190" ht="12.75">
      <c r="B4190" s="3"/>
    </row>
    <row r="4191" ht="12.75">
      <c r="B4191" s="3"/>
    </row>
    <row r="4192" ht="12.75">
      <c r="B4192" s="3"/>
    </row>
    <row r="4193" ht="12.75">
      <c r="B4193" s="3"/>
    </row>
    <row r="4194" ht="12.75">
      <c r="B4194" s="3"/>
    </row>
    <row r="4195" ht="12.75">
      <c r="B4195" s="3"/>
    </row>
    <row r="4196" ht="12.75">
      <c r="B4196" s="3"/>
    </row>
    <row r="4197" ht="12.75">
      <c r="B4197" s="3"/>
    </row>
    <row r="4198" ht="12.75">
      <c r="B4198" s="3"/>
    </row>
    <row r="4199" ht="12.75">
      <c r="B4199" s="3"/>
    </row>
    <row r="4200" ht="12.75">
      <c r="B4200" s="3"/>
    </row>
    <row r="4201" ht="12.75">
      <c r="B4201" s="3"/>
    </row>
    <row r="4202" ht="12.75">
      <c r="B4202" s="3"/>
    </row>
    <row r="4203" ht="12.75">
      <c r="B4203" s="3"/>
    </row>
    <row r="4204" ht="12.75">
      <c r="B4204" s="3"/>
    </row>
    <row r="4205" ht="12.75">
      <c r="B4205" s="3"/>
    </row>
    <row r="4206" ht="12.75">
      <c r="B4206" s="3"/>
    </row>
    <row r="4207" ht="12.75">
      <c r="B4207" s="3"/>
    </row>
    <row r="4208" ht="12.75">
      <c r="B4208" s="3"/>
    </row>
    <row r="4209" ht="12.75">
      <c r="B4209" s="3"/>
    </row>
    <row r="4210" ht="12.75">
      <c r="B4210" s="3"/>
    </row>
    <row r="4211" ht="12.75">
      <c r="B4211" s="3"/>
    </row>
    <row r="4212" ht="12.75">
      <c r="B4212" s="3"/>
    </row>
    <row r="4213" ht="12.75">
      <c r="B4213" s="3"/>
    </row>
    <row r="4214" ht="12.75">
      <c r="B4214" s="3"/>
    </row>
    <row r="4215" ht="12.75">
      <c r="B4215" s="3"/>
    </row>
    <row r="4216" ht="12.75">
      <c r="B4216" s="3"/>
    </row>
    <row r="4217" ht="12.75">
      <c r="B4217" s="3"/>
    </row>
    <row r="4218" ht="12.75">
      <c r="B4218" s="3"/>
    </row>
    <row r="4219" ht="12.75">
      <c r="B4219" s="3"/>
    </row>
    <row r="4220" ht="12.75">
      <c r="B4220" s="3"/>
    </row>
    <row r="4221" ht="12.75">
      <c r="B4221" s="3"/>
    </row>
    <row r="4222" ht="12.75">
      <c r="B4222" s="3"/>
    </row>
    <row r="4223" ht="12.75">
      <c r="B4223" s="3"/>
    </row>
    <row r="4224" ht="12.75">
      <c r="B4224" s="3"/>
    </row>
    <row r="4225" ht="12.75">
      <c r="B4225" s="3"/>
    </row>
    <row r="4226" ht="12.75">
      <c r="B4226" s="3"/>
    </row>
    <row r="4227" ht="12.75">
      <c r="B4227" s="3"/>
    </row>
    <row r="4228" ht="12.75">
      <c r="B4228" s="3"/>
    </row>
    <row r="4229" ht="12.75">
      <c r="B4229" s="3"/>
    </row>
    <row r="4230" ht="12.75">
      <c r="B4230" s="3"/>
    </row>
    <row r="4231" ht="12.75">
      <c r="B4231" s="3"/>
    </row>
    <row r="4232" ht="12.75">
      <c r="B4232" s="3"/>
    </row>
    <row r="4233" ht="12.75">
      <c r="B4233" s="3"/>
    </row>
    <row r="4234" ht="12.75">
      <c r="B4234" s="3"/>
    </row>
    <row r="4235" ht="12.75">
      <c r="B4235" s="3"/>
    </row>
    <row r="4236" ht="12.75">
      <c r="B4236" s="3"/>
    </row>
    <row r="4237" ht="12.75">
      <c r="B4237" s="3"/>
    </row>
    <row r="4238" ht="12.75">
      <c r="B4238" s="3"/>
    </row>
    <row r="4239" ht="12.75">
      <c r="B4239" s="3"/>
    </row>
    <row r="4240" ht="12.75">
      <c r="B4240" s="3"/>
    </row>
    <row r="4241" ht="12.75">
      <c r="B4241" s="3"/>
    </row>
    <row r="4242" ht="12.75">
      <c r="B4242" s="3"/>
    </row>
    <row r="4243" ht="12.75">
      <c r="B4243" s="3"/>
    </row>
    <row r="4244" ht="12.75">
      <c r="B4244" s="3"/>
    </row>
    <row r="4245" ht="12.75">
      <c r="B4245" s="3"/>
    </row>
    <row r="4246" ht="12.75">
      <c r="B4246" s="3"/>
    </row>
    <row r="4247" ht="12.75">
      <c r="B4247" s="3"/>
    </row>
    <row r="4248" ht="12.75">
      <c r="B4248" s="3"/>
    </row>
    <row r="4249" ht="12.75">
      <c r="B4249" s="3"/>
    </row>
    <row r="4250" ht="12.75">
      <c r="B4250" s="3"/>
    </row>
    <row r="4251" ht="12.75">
      <c r="B4251" s="3"/>
    </row>
    <row r="4252" ht="12.75">
      <c r="B4252" s="3"/>
    </row>
    <row r="4253" ht="12.75">
      <c r="B4253" s="3"/>
    </row>
    <row r="4254" ht="12.75">
      <c r="B4254" s="3"/>
    </row>
    <row r="4255" ht="12.75">
      <c r="B4255" s="3"/>
    </row>
    <row r="4256" ht="12.75">
      <c r="B4256" s="3"/>
    </row>
    <row r="4257" ht="12.75">
      <c r="B4257" s="3"/>
    </row>
    <row r="4258" ht="12.75">
      <c r="B4258" s="3"/>
    </row>
    <row r="4259" ht="12.75">
      <c r="B4259" s="3"/>
    </row>
    <row r="4260" ht="12.75">
      <c r="B4260" s="3"/>
    </row>
    <row r="4261" ht="12.75">
      <c r="B4261" s="3"/>
    </row>
    <row r="4262" ht="12.75">
      <c r="B4262" s="3"/>
    </row>
    <row r="4263" ht="12.75">
      <c r="B4263" s="3"/>
    </row>
    <row r="4264" ht="12.75">
      <c r="B4264" s="3"/>
    </row>
    <row r="4265" ht="12.75">
      <c r="B4265" s="3"/>
    </row>
    <row r="4266" ht="12.75">
      <c r="B4266" s="3"/>
    </row>
    <row r="4267" ht="12.75">
      <c r="B4267" s="3"/>
    </row>
    <row r="4268" ht="12.75">
      <c r="B4268" s="3"/>
    </row>
    <row r="4269" ht="12.75">
      <c r="B4269" s="3"/>
    </row>
    <row r="4270" ht="12.75">
      <c r="B4270" s="3"/>
    </row>
    <row r="4271" ht="12.75">
      <c r="B4271" s="3"/>
    </row>
    <row r="4272" ht="12.75">
      <c r="B4272" s="3"/>
    </row>
    <row r="4273" ht="12.75">
      <c r="B4273" s="3"/>
    </row>
    <row r="4274" ht="12.75">
      <c r="B4274" s="3"/>
    </row>
    <row r="4275" ht="12.75">
      <c r="B4275" s="3"/>
    </row>
    <row r="4276" ht="12.75">
      <c r="B4276" s="3"/>
    </row>
    <row r="4277" ht="12.75">
      <c r="B4277" s="3"/>
    </row>
    <row r="4278" ht="12.75">
      <c r="B4278" s="3"/>
    </row>
    <row r="4279" ht="12.75">
      <c r="B4279" s="3"/>
    </row>
    <row r="4280" ht="12.75">
      <c r="B4280" s="3"/>
    </row>
    <row r="4281" ht="12.75">
      <c r="B4281" s="3"/>
    </row>
    <row r="4282" ht="12.75">
      <c r="B4282" s="3"/>
    </row>
    <row r="4283" ht="12.75">
      <c r="B4283" s="3"/>
    </row>
    <row r="4284" ht="12.75">
      <c r="B4284" s="3"/>
    </row>
    <row r="4285" ht="12.75">
      <c r="B4285" s="3"/>
    </row>
    <row r="4286" ht="12.75">
      <c r="B4286" s="3"/>
    </row>
    <row r="4287" ht="12.75">
      <c r="B4287" s="3"/>
    </row>
    <row r="4288" ht="12.75">
      <c r="B4288" s="3"/>
    </row>
    <row r="4289" ht="12.75">
      <c r="B4289" s="3"/>
    </row>
    <row r="4290" ht="12.75">
      <c r="B4290" s="3"/>
    </row>
    <row r="4291" ht="12.75">
      <c r="B4291" s="3"/>
    </row>
    <row r="4292" ht="12.75">
      <c r="B4292" s="3"/>
    </row>
    <row r="4293" ht="12.75">
      <c r="B4293" s="3"/>
    </row>
    <row r="4294" ht="12.75">
      <c r="B4294" s="3"/>
    </row>
    <row r="4295" ht="12.75">
      <c r="B4295" s="3"/>
    </row>
    <row r="4296" ht="12.75">
      <c r="B4296" s="3"/>
    </row>
    <row r="4297" ht="12.75">
      <c r="B4297" s="3"/>
    </row>
    <row r="4298" ht="12.75">
      <c r="B4298" s="3"/>
    </row>
    <row r="4299" ht="12.75">
      <c r="B4299" s="3"/>
    </row>
    <row r="4300" ht="12.75">
      <c r="B4300" s="3"/>
    </row>
    <row r="4301" ht="12.75">
      <c r="B4301" s="3"/>
    </row>
    <row r="4302" ht="12.75">
      <c r="B4302" s="3"/>
    </row>
    <row r="4303" ht="12.75">
      <c r="B4303" s="3"/>
    </row>
    <row r="4304" ht="12.75">
      <c r="B4304" s="3"/>
    </row>
    <row r="4305" ht="12.75">
      <c r="B4305" s="3"/>
    </row>
    <row r="4306" ht="12.75">
      <c r="B4306" s="3"/>
    </row>
    <row r="4307" ht="12.75">
      <c r="B4307" s="3"/>
    </row>
    <row r="4308" ht="12.75">
      <c r="B4308" s="3"/>
    </row>
    <row r="4309" ht="12.75">
      <c r="B4309" s="3"/>
    </row>
    <row r="4310" ht="12.75">
      <c r="B4310" s="3"/>
    </row>
    <row r="4311" ht="12.75">
      <c r="B4311" s="3"/>
    </row>
    <row r="4312" ht="12.75">
      <c r="B4312" s="3"/>
    </row>
    <row r="4313" ht="12.75">
      <c r="B4313" s="3"/>
    </row>
    <row r="4314" ht="12.75">
      <c r="B4314" s="3"/>
    </row>
    <row r="4315" ht="12.75">
      <c r="B4315" s="3"/>
    </row>
    <row r="4316" ht="12.75">
      <c r="B4316" s="3"/>
    </row>
    <row r="4317" ht="12.75">
      <c r="B4317" s="3"/>
    </row>
    <row r="4318" ht="12.75">
      <c r="B4318" s="3"/>
    </row>
    <row r="4319" ht="12.75">
      <c r="B4319" s="3"/>
    </row>
    <row r="4320" ht="12.75">
      <c r="B4320" s="3"/>
    </row>
    <row r="4321" ht="12.75">
      <c r="B4321" s="3"/>
    </row>
    <row r="4322" ht="12.75">
      <c r="B4322" s="3"/>
    </row>
    <row r="4323" ht="12.75">
      <c r="B4323" s="3"/>
    </row>
    <row r="4324" ht="12.75">
      <c r="B4324" s="3"/>
    </row>
    <row r="4325" ht="12.75">
      <c r="B4325" s="3"/>
    </row>
    <row r="4326" ht="12.75">
      <c r="B4326" s="3"/>
    </row>
    <row r="4327" ht="12.75">
      <c r="B4327" s="3"/>
    </row>
    <row r="4328" ht="12.75">
      <c r="B4328" s="3"/>
    </row>
    <row r="4329" ht="12.75">
      <c r="B4329" s="3"/>
    </row>
    <row r="4330" ht="12.75">
      <c r="B4330" s="3"/>
    </row>
    <row r="4331" ht="12.75">
      <c r="B4331" s="3"/>
    </row>
    <row r="4332" ht="12.75">
      <c r="B4332" s="3"/>
    </row>
    <row r="4333" ht="12.75">
      <c r="B4333" s="3"/>
    </row>
    <row r="4334" ht="12.75">
      <c r="B4334" s="3"/>
    </row>
    <row r="4335" ht="12.75">
      <c r="B4335" s="3"/>
    </row>
    <row r="4336" ht="12.75">
      <c r="B4336" s="3"/>
    </row>
    <row r="4337" ht="12.75">
      <c r="B4337" s="3"/>
    </row>
    <row r="4338" ht="12.75">
      <c r="B4338" s="3"/>
    </row>
    <row r="4339" ht="12.75">
      <c r="B4339" s="3"/>
    </row>
    <row r="4340" ht="12.75">
      <c r="B4340" s="3"/>
    </row>
    <row r="4341" ht="12.75">
      <c r="B4341" s="3"/>
    </row>
    <row r="4342" ht="12.75">
      <c r="B4342" s="3"/>
    </row>
    <row r="4343" ht="12.75">
      <c r="B4343" s="3"/>
    </row>
    <row r="4344" ht="12.75">
      <c r="B4344" s="3"/>
    </row>
    <row r="4345" ht="12.75">
      <c r="B4345" s="3"/>
    </row>
    <row r="4346" ht="12.75">
      <c r="B4346" s="3"/>
    </row>
    <row r="4347" ht="12.75">
      <c r="B4347" s="3"/>
    </row>
    <row r="4348" ht="12.75">
      <c r="B4348" s="3"/>
    </row>
    <row r="4349" ht="12.75">
      <c r="B4349" s="3"/>
    </row>
    <row r="4350" ht="12.75">
      <c r="B4350" s="3"/>
    </row>
    <row r="4351" ht="12.75">
      <c r="B4351" s="3"/>
    </row>
    <row r="4352" ht="12.75">
      <c r="B4352" s="3"/>
    </row>
    <row r="4353" ht="12.75">
      <c r="B4353" s="3"/>
    </row>
    <row r="4354" ht="12.75">
      <c r="B4354" s="3"/>
    </row>
    <row r="4355" ht="12.75">
      <c r="B4355" s="3"/>
    </row>
    <row r="4356" ht="12.75">
      <c r="B4356" s="3"/>
    </row>
    <row r="4357" ht="12.75">
      <c r="B4357" s="3"/>
    </row>
    <row r="4358" ht="12.75">
      <c r="B4358" s="3"/>
    </row>
    <row r="4359" ht="12.75">
      <c r="B4359" s="3"/>
    </row>
    <row r="4360" ht="12.75">
      <c r="B4360" s="3"/>
    </row>
    <row r="4361" ht="12.75">
      <c r="B4361" s="3"/>
    </row>
    <row r="4362" ht="12.75">
      <c r="B4362" s="3"/>
    </row>
    <row r="4363" ht="12.75">
      <c r="B4363" s="3"/>
    </row>
    <row r="4364" ht="12.75">
      <c r="B4364" s="3"/>
    </row>
    <row r="4365" ht="12.75">
      <c r="B4365" s="3"/>
    </row>
    <row r="4366" ht="12.75">
      <c r="B4366" s="3"/>
    </row>
    <row r="4367" ht="12.75">
      <c r="B4367" s="3"/>
    </row>
    <row r="4368" ht="12.75">
      <c r="B4368" s="3"/>
    </row>
    <row r="4369" ht="12.75">
      <c r="B4369" s="3"/>
    </row>
    <row r="4370" ht="12.75">
      <c r="B4370" s="3"/>
    </row>
    <row r="4371" ht="12.75">
      <c r="B4371" s="3"/>
    </row>
    <row r="4372" ht="12.75">
      <c r="B4372" s="3"/>
    </row>
    <row r="4373" ht="12.75">
      <c r="B4373" s="3"/>
    </row>
    <row r="4374" ht="12.75">
      <c r="B4374" s="3"/>
    </row>
    <row r="4375" ht="12.75">
      <c r="B4375" s="3"/>
    </row>
    <row r="4376" ht="12.75">
      <c r="B4376" s="3"/>
    </row>
    <row r="4377" ht="12.75">
      <c r="B4377" s="3"/>
    </row>
    <row r="4378" ht="12.75">
      <c r="B4378" s="3"/>
    </row>
    <row r="4379" ht="12.75">
      <c r="B4379" s="3"/>
    </row>
    <row r="4380" ht="12.75">
      <c r="B4380" s="3"/>
    </row>
    <row r="4381" ht="12.75">
      <c r="B4381" s="3"/>
    </row>
    <row r="4382" ht="12.75">
      <c r="B4382" s="3"/>
    </row>
    <row r="4383" ht="12.75">
      <c r="B4383" s="3"/>
    </row>
    <row r="4384" ht="12.75">
      <c r="B4384" s="3"/>
    </row>
    <row r="4385" ht="12.75">
      <c r="B4385" s="3"/>
    </row>
    <row r="4386" ht="12.75">
      <c r="B4386" s="3"/>
    </row>
    <row r="4387" ht="12.75">
      <c r="B4387" s="3"/>
    </row>
    <row r="4388" ht="12.75">
      <c r="B4388" s="3"/>
    </row>
    <row r="4389" ht="12.75">
      <c r="B4389" s="3"/>
    </row>
    <row r="4390" ht="12.75">
      <c r="B4390" s="3"/>
    </row>
    <row r="4391" ht="12.75">
      <c r="B4391" s="3"/>
    </row>
    <row r="4392" ht="12.75">
      <c r="B4392" s="3"/>
    </row>
    <row r="4393" ht="12.75">
      <c r="B4393" s="3"/>
    </row>
    <row r="4394" ht="12.75">
      <c r="B4394" s="3"/>
    </row>
    <row r="4395" ht="12.75">
      <c r="B4395" s="3"/>
    </row>
    <row r="4396" ht="12.75">
      <c r="B4396" s="3"/>
    </row>
    <row r="4397" ht="12.75">
      <c r="B4397" s="3"/>
    </row>
    <row r="4398" ht="12.75">
      <c r="B4398" s="3"/>
    </row>
    <row r="4399" ht="12.75">
      <c r="B4399" s="3"/>
    </row>
    <row r="4400" ht="12.75">
      <c r="B4400" s="3"/>
    </row>
    <row r="4401" ht="12.75">
      <c r="B4401" s="3"/>
    </row>
    <row r="4402" ht="12.75">
      <c r="B4402" s="3"/>
    </row>
    <row r="4403" ht="12.75">
      <c r="B4403" s="3"/>
    </row>
    <row r="4404" ht="12.75">
      <c r="B4404" s="3"/>
    </row>
    <row r="4405" ht="12.75">
      <c r="B4405" s="3"/>
    </row>
    <row r="4406" ht="12.75">
      <c r="B4406" s="3"/>
    </row>
    <row r="4407" ht="12.75">
      <c r="B4407" s="3"/>
    </row>
    <row r="4408" ht="12.75">
      <c r="B4408" s="3"/>
    </row>
    <row r="4409" ht="12.75">
      <c r="B4409" s="3"/>
    </row>
    <row r="4410" ht="12.75">
      <c r="B4410" s="3"/>
    </row>
    <row r="4411" ht="12.75">
      <c r="B4411" s="3"/>
    </row>
    <row r="4412" ht="12.75">
      <c r="B4412" s="3"/>
    </row>
    <row r="4413" ht="12.75">
      <c r="B4413" s="3"/>
    </row>
    <row r="4414" ht="12.75">
      <c r="B4414" s="3"/>
    </row>
    <row r="4415" ht="12.75">
      <c r="B4415" s="3"/>
    </row>
    <row r="4416" ht="12.75">
      <c r="B4416" s="3"/>
    </row>
    <row r="4417" ht="12.75">
      <c r="B4417" s="3"/>
    </row>
    <row r="4418" ht="12.75">
      <c r="B4418" s="3"/>
    </row>
    <row r="4419" ht="12.75">
      <c r="B4419" s="3"/>
    </row>
    <row r="4420" ht="12.75">
      <c r="B4420" s="3"/>
    </row>
    <row r="4421" ht="12.75">
      <c r="B4421" s="3"/>
    </row>
    <row r="4422" ht="12.75">
      <c r="B4422" s="3"/>
    </row>
    <row r="4423" ht="12.75">
      <c r="B4423" s="3"/>
    </row>
    <row r="4424" ht="12.75">
      <c r="B4424" s="3"/>
    </row>
    <row r="4425" ht="12.75">
      <c r="B4425" s="3"/>
    </row>
    <row r="4426" ht="12.75">
      <c r="B4426" s="3"/>
    </row>
    <row r="4427" ht="12.75">
      <c r="B4427" s="3"/>
    </row>
    <row r="4428" ht="12.75">
      <c r="B4428" s="3"/>
    </row>
    <row r="4429" ht="12.75">
      <c r="B4429" s="3"/>
    </row>
    <row r="4430" ht="12.75">
      <c r="B4430" s="3"/>
    </row>
    <row r="4431" ht="12.75">
      <c r="B4431" s="3"/>
    </row>
    <row r="4432" ht="12.75">
      <c r="B4432" s="3"/>
    </row>
    <row r="4433" ht="12.75">
      <c r="B4433" s="3"/>
    </row>
    <row r="4434" ht="12.75">
      <c r="B4434" s="3"/>
    </row>
    <row r="4435" ht="12.75">
      <c r="B4435" s="3"/>
    </row>
    <row r="4436" ht="12.75">
      <c r="B4436" s="3"/>
    </row>
    <row r="4437" ht="12.75">
      <c r="B4437" s="3"/>
    </row>
    <row r="4438" ht="12.75">
      <c r="B4438" s="3"/>
    </row>
    <row r="4439" ht="12.75">
      <c r="B4439" s="3"/>
    </row>
    <row r="4440" ht="12.75">
      <c r="B4440" s="3"/>
    </row>
    <row r="4441" ht="12.75">
      <c r="B4441" s="3"/>
    </row>
    <row r="4442" ht="12.75">
      <c r="B4442" s="3"/>
    </row>
    <row r="4443" ht="12.75">
      <c r="B4443" s="3"/>
    </row>
    <row r="4444" ht="12.75">
      <c r="B4444" s="3"/>
    </row>
    <row r="4445" ht="12.75">
      <c r="B4445" s="3"/>
    </row>
    <row r="4446" ht="12.75">
      <c r="B4446" s="3"/>
    </row>
    <row r="4447" ht="12.75">
      <c r="B4447" s="3"/>
    </row>
    <row r="4448" ht="12.75">
      <c r="B4448" s="3"/>
    </row>
    <row r="4449" ht="12.75">
      <c r="B4449" s="3"/>
    </row>
    <row r="4450" ht="12.75">
      <c r="B4450" s="3"/>
    </row>
    <row r="4451" ht="12.75">
      <c r="B4451" s="3"/>
    </row>
    <row r="4452" ht="12.75">
      <c r="B4452" s="3"/>
    </row>
    <row r="4453" ht="12.75">
      <c r="B4453" s="3"/>
    </row>
    <row r="4454" ht="12.75">
      <c r="B4454" s="3"/>
    </row>
    <row r="4455" ht="12.75">
      <c r="B4455" s="3"/>
    </row>
    <row r="4456" ht="12.75">
      <c r="B4456" s="3"/>
    </row>
    <row r="4457" ht="12.75">
      <c r="B4457" s="3"/>
    </row>
    <row r="4458" ht="12.75">
      <c r="B4458" s="3"/>
    </row>
    <row r="4459" ht="12.75">
      <c r="B4459" s="3"/>
    </row>
    <row r="4460" ht="12.75">
      <c r="B4460" s="3"/>
    </row>
    <row r="4461" ht="12.75">
      <c r="B4461" s="3"/>
    </row>
    <row r="4462" ht="12.75">
      <c r="B4462" s="3"/>
    </row>
    <row r="4463" ht="12.75">
      <c r="B4463" s="3"/>
    </row>
    <row r="4464" ht="12.75">
      <c r="B4464" s="3"/>
    </row>
    <row r="4465" ht="12.75">
      <c r="B4465" s="3"/>
    </row>
    <row r="4466" ht="12.75">
      <c r="B4466" s="3"/>
    </row>
    <row r="4467" ht="12.75">
      <c r="B4467" s="3"/>
    </row>
    <row r="4468" ht="12.75">
      <c r="B4468" s="3"/>
    </row>
    <row r="4469" ht="12.75">
      <c r="B4469" s="3"/>
    </row>
    <row r="4470" ht="12.75">
      <c r="B4470" s="3"/>
    </row>
    <row r="4471" ht="12.75">
      <c r="B4471" s="3"/>
    </row>
    <row r="4472" ht="12.75">
      <c r="B4472" s="3"/>
    </row>
    <row r="4473" ht="12.75">
      <c r="B4473" s="3"/>
    </row>
    <row r="4474" ht="12.75">
      <c r="B4474" s="3"/>
    </row>
    <row r="4475" ht="12.75">
      <c r="B4475" s="3"/>
    </row>
    <row r="4476" ht="12.75">
      <c r="B4476" s="3"/>
    </row>
    <row r="4477" ht="12.75">
      <c r="B4477" s="3"/>
    </row>
    <row r="4478" ht="12.75">
      <c r="B4478" s="3"/>
    </row>
    <row r="4479" ht="12.75">
      <c r="B4479" s="3"/>
    </row>
    <row r="4480" ht="12.75">
      <c r="B4480" s="3"/>
    </row>
    <row r="4481" ht="12.75">
      <c r="B4481" s="3"/>
    </row>
    <row r="4482" ht="12.75">
      <c r="B4482" s="3"/>
    </row>
    <row r="4483" ht="12.75">
      <c r="B4483" s="3"/>
    </row>
    <row r="4484" ht="12.75">
      <c r="B4484" s="3"/>
    </row>
    <row r="4485" ht="12.75">
      <c r="B4485" s="3"/>
    </row>
    <row r="4486" ht="12.75">
      <c r="B4486" s="3"/>
    </row>
    <row r="4487" ht="12.75">
      <c r="B4487" s="3"/>
    </row>
    <row r="4488" ht="12.75">
      <c r="B4488" s="3"/>
    </row>
    <row r="4489" ht="12.75">
      <c r="B4489" s="3"/>
    </row>
    <row r="4490" ht="12.75">
      <c r="B4490" s="3"/>
    </row>
    <row r="4491" ht="12.75">
      <c r="B4491" s="3"/>
    </row>
    <row r="4492" ht="12.75">
      <c r="B4492" s="3"/>
    </row>
    <row r="4493" ht="12.75">
      <c r="B4493" s="3"/>
    </row>
    <row r="4494" ht="12.75">
      <c r="B4494" s="3"/>
    </row>
    <row r="4495" ht="12.75">
      <c r="B4495" s="3"/>
    </row>
    <row r="4496" ht="12.75">
      <c r="B4496" s="3"/>
    </row>
    <row r="4497" ht="12.75">
      <c r="B4497" s="3"/>
    </row>
    <row r="4498" ht="12.75">
      <c r="B4498" s="3"/>
    </row>
    <row r="4499" ht="12.75">
      <c r="B4499" s="3"/>
    </row>
    <row r="4500" ht="12.75">
      <c r="B4500" s="3"/>
    </row>
    <row r="4501" ht="12.75">
      <c r="B4501" s="3"/>
    </row>
    <row r="4502" ht="12.75">
      <c r="B4502" s="3"/>
    </row>
    <row r="4503" ht="12.75">
      <c r="B4503" s="3"/>
    </row>
    <row r="4504" ht="12.75">
      <c r="B4504" s="3"/>
    </row>
    <row r="4505" ht="12.75">
      <c r="B4505" s="3"/>
    </row>
    <row r="4506" ht="12.75">
      <c r="B4506" s="3"/>
    </row>
    <row r="4507" ht="12.75">
      <c r="B4507" s="3"/>
    </row>
    <row r="4508" ht="12.75">
      <c r="B4508" s="3"/>
    </row>
    <row r="4509" ht="12.75">
      <c r="B4509" s="3"/>
    </row>
    <row r="4510" ht="12.75">
      <c r="B4510" s="3"/>
    </row>
    <row r="4511" ht="12.75">
      <c r="B4511" s="3"/>
    </row>
    <row r="4512" ht="12.75">
      <c r="B4512" s="3"/>
    </row>
    <row r="4513" ht="12.75">
      <c r="B4513" s="3"/>
    </row>
    <row r="4514" ht="12.75">
      <c r="B4514" s="3"/>
    </row>
    <row r="4515" ht="12.75">
      <c r="B4515" s="3"/>
    </row>
    <row r="4516" ht="12.75">
      <c r="B4516" s="3"/>
    </row>
    <row r="4517" ht="12.75">
      <c r="B4517" s="3"/>
    </row>
    <row r="4518" ht="12.75">
      <c r="B4518" s="3"/>
    </row>
    <row r="4519" ht="12.75">
      <c r="B4519" s="3"/>
    </row>
    <row r="4520" ht="12.75">
      <c r="B4520" s="3"/>
    </row>
    <row r="4521" ht="12.75">
      <c r="B4521" s="3"/>
    </row>
    <row r="4522" ht="12.75">
      <c r="B4522" s="3"/>
    </row>
    <row r="4523" ht="12.75">
      <c r="B4523" s="3"/>
    </row>
    <row r="4524" ht="12.75">
      <c r="B4524" s="3"/>
    </row>
    <row r="4525" ht="12.75">
      <c r="B4525" s="3"/>
    </row>
    <row r="4526" ht="12.75">
      <c r="B4526" s="3"/>
    </row>
    <row r="4527" ht="12.75">
      <c r="B4527" s="3"/>
    </row>
    <row r="4528" ht="12.75">
      <c r="B4528" s="3"/>
    </row>
    <row r="4529" ht="12.75">
      <c r="B4529" s="3"/>
    </row>
    <row r="4530" ht="12.75">
      <c r="B4530" s="3"/>
    </row>
    <row r="4531" ht="12.75">
      <c r="B4531" s="3"/>
    </row>
    <row r="4532" ht="12.75">
      <c r="B4532" s="3"/>
    </row>
    <row r="4533" ht="12.75">
      <c r="B4533" s="3"/>
    </row>
    <row r="4534" ht="12.75">
      <c r="B4534" s="3"/>
    </row>
    <row r="4535" ht="12.75">
      <c r="B4535" s="3"/>
    </row>
    <row r="4536" ht="12.75">
      <c r="B4536" s="3"/>
    </row>
    <row r="4537" ht="12.75">
      <c r="B4537" s="3"/>
    </row>
    <row r="4538" ht="12.75">
      <c r="B4538" s="3"/>
    </row>
    <row r="4539" ht="12.75">
      <c r="B4539" s="3"/>
    </row>
    <row r="4540" ht="12.75">
      <c r="B4540" s="3"/>
    </row>
    <row r="4541" ht="12.75">
      <c r="B4541" s="3"/>
    </row>
    <row r="4542" ht="12.75">
      <c r="B4542" s="3"/>
    </row>
    <row r="4543" ht="12.75">
      <c r="B4543" s="3"/>
    </row>
    <row r="4544" ht="12.75">
      <c r="B4544" s="3"/>
    </row>
    <row r="4545" ht="12.75">
      <c r="B4545" s="3"/>
    </row>
    <row r="4546" ht="12.75">
      <c r="B4546" s="3"/>
    </row>
    <row r="4547" ht="12.75">
      <c r="B4547" s="3"/>
    </row>
    <row r="4548" ht="12.75">
      <c r="B4548" s="3"/>
    </row>
    <row r="4549" ht="12.75">
      <c r="B4549" s="3"/>
    </row>
    <row r="4550" ht="12.75">
      <c r="B4550" s="3"/>
    </row>
    <row r="4551" ht="12.75">
      <c r="B4551" s="3"/>
    </row>
    <row r="4552" ht="12.75">
      <c r="B4552" s="3"/>
    </row>
    <row r="4553" ht="12.75">
      <c r="B4553" s="3"/>
    </row>
    <row r="4554" ht="12.75">
      <c r="B4554" s="3"/>
    </row>
    <row r="4555" ht="12.75">
      <c r="B4555" s="3"/>
    </row>
    <row r="4556" ht="12.75">
      <c r="B4556" s="3"/>
    </row>
    <row r="4557" ht="12.75">
      <c r="B4557" s="3"/>
    </row>
    <row r="4558" ht="12.75">
      <c r="B4558" s="3"/>
    </row>
    <row r="4559" ht="12.75">
      <c r="B4559" s="3"/>
    </row>
    <row r="4560" ht="12.75">
      <c r="B4560" s="3"/>
    </row>
    <row r="4561" ht="12.75">
      <c r="B4561" s="3"/>
    </row>
    <row r="4562" ht="12.75">
      <c r="B4562" s="3"/>
    </row>
    <row r="4563" ht="12.75">
      <c r="B4563" s="3"/>
    </row>
    <row r="4564" ht="12.75">
      <c r="B4564" s="3"/>
    </row>
    <row r="4565" ht="12.75">
      <c r="B4565" s="3"/>
    </row>
    <row r="4566" ht="12.75">
      <c r="B4566" s="3"/>
    </row>
    <row r="4567" ht="12.75">
      <c r="B4567" s="3"/>
    </row>
    <row r="4568" ht="12.75">
      <c r="B4568" s="3"/>
    </row>
    <row r="4569" ht="12.75">
      <c r="B4569" s="3"/>
    </row>
    <row r="4570" ht="12.75">
      <c r="B4570" s="3"/>
    </row>
    <row r="4571" ht="12.75">
      <c r="B4571" s="3"/>
    </row>
    <row r="4572" ht="12.75">
      <c r="B4572" s="3"/>
    </row>
    <row r="4573" ht="12.75">
      <c r="B4573" s="3"/>
    </row>
    <row r="4574" ht="12.75">
      <c r="B4574" s="3"/>
    </row>
    <row r="4575" ht="12.75">
      <c r="B4575" s="3"/>
    </row>
    <row r="4576" ht="12.75">
      <c r="B4576" s="3"/>
    </row>
    <row r="4577" ht="12.75">
      <c r="B4577" s="3"/>
    </row>
    <row r="4578" ht="12.75">
      <c r="B4578" s="3"/>
    </row>
    <row r="4579" ht="12.75">
      <c r="B4579" s="3"/>
    </row>
    <row r="4580" ht="12.75">
      <c r="B4580" s="3"/>
    </row>
    <row r="4581" ht="12.75">
      <c r="B4581" s="3"/>
    </row>
    <row r="4582" ht="12.75">
      <c r="B4582" s="3"/>
    </row>
    <row r="4583" ht="12.75">
      <c r="B4583" s="3"/>
    </row>
    <row r="4584" ht="12.75">
      <c r="B4584" s="3"/>
    </row>
    <row r="4585" ht="12.75">
      <c r="B4585" s="3"/>
    </row>
    <row r="4586" ht="12.75">
      <c r="B4586" s="3"/>
    </row>
    <row r="4587" ht="12.75">
      <c r="B4587" s="3"/>
    </row>
    <row r="4588" ht="12.75">
      <c r="B4588" s="3"/>
    </row>
    <row r="4589" ht="12.75">
      <c r="B4589" s="3"/>
    </row>
    <row r="4590" ht="12.75">
      <c r="B4590" s="3"/>
    </row>
    <row r="4591" ht="12.75">
      <c r="B4591" s="3"/>
    </row>
    <row r="4592" ht="12.75">
      <c r="B4592" s="3"/>
    </row>
    <row r="4593" ht="12.75">
      <c r="B4593" s="3"/>
    </row>
    <row r="4594" ht="12.75">
      <c r="B4594" s="3"/>
    </row>
    <row r="4595" ht="12.75">
      <c r="B4595" s="3"/>
    </row>
    <row r="4596" ht="12.75">
      <c r="B4596" s="3"/>
    </row>
    <row r="4597" ht="12.75">
      <c r="B4597" s="3"/>
    </row>
    <row r="4598" ht="12.75">
      <c r="B4598" s="3"/>
    </row>
    <row r="4599" ht="12.75">
      <c r="B4599" s="3"/>
    </row>
    <row r="4600" ht="12.75">
      <c r="B4600" s="3"/>
    </row>
    <row r="4601" ht="12.75">
      <c r="B4601" s="3"/>
    </row>
    <row r="4602" ht="12.75">
      <c r="B4602" s="3"/>
    </row>
    <row r="4603" ht="12.75">
      <c r="B4603" s="3"/>
    </row>
    <row r="4604" ht="12.75">
      <c r="B4604" s="3"/>
    </row>
    <row r="4605" ht="12.75">
      <c r="B4605" s="3"/>
    </row>
    <row r="4606" ht="12.75">
      <c r="B4606" s="3"/>
    </row>
    <row r="4607" ht="12.75">
      <c r="B4607" s="3"/>
    </row>
    <row r="4608" ht="12.75">
      <c r="B4608" s="3"/>
    </row>
    <row r="4609" ht="12.75">
      <c r="B4609" s="3"/>
    </row>
    <row r="4610" ht="12.75">
      <c r="B4610" s="3"/>
    </row>
    <row r="4611" ht="12.75">
      <c r="B4611" s="3"/>
    </row>
    <row r="4612" ht="12.75">
      <c r="B4612" s="3"/>
    </row>
    <row r="4613" ht="12.75">
      <c r="B4613" s="3"/>
    </row>
    <row r="4614" ht="12.75">
      <c r="B4614" s="3"/>
    </row>
    <row r="4615" ht="12.75">
      <c r="B4615" s="3"/>
    </row>
    <row r="4616" ht="12.75">
      <c r="B4616" s="3"/>
    </row>
    <row r="4617" ht="12.75">
      <c r="B4617" s="3"/>
    </row>
    <row r="4618" ht="12.75">
      <c r="B4618" s="3"/>
    </row>
    <row r="4619" ht="12.75">
      <c r="B4619" s="3"/>
    </row>
    <row r="4620" ht="12.75">
      <c r="B4620" s="3"/>
    </row>
    <row r="4621" ht="12.75">
      <c r="B4621" s="3"/>
    </row>
    <row r="4622" ht="12.75">
      <c r="B4622" s="3"/>
    </row>
    <row r="4623" ht="12.75">
      <c r="B4623" s="3"/>
    </row>
    <row r="4624" ht="12.75">
      <c r="B4624" s="3"/>
    </row>
    <row r="4625" ht="12.75">
      <c r="B4625" s="3"/>
    </row>
    <row r="4626" ht="12.75">
      <c r="B4626" s="3"/>
    </row>
    <row r="4627" ht="12.75">
      <c r="B4627" s="3"/>
    </row>
    <row r="4628" ht="12.75">
      <c r="B4628" s="3"/>
    </row>
    <row r="4629" ht="12.75">
      <c r="B4629" s="3"/>
    </row>
    <row r="4630" ht="12.75">
      <c r="B4630" s="3"/>
    </row>
    <row r="4631" ht="12.75">
      <c r="B4631" s="3"/>
    </row>
    <row r="4632" ht="12.75">
      <c r="B4632" s="3"/>
    </row>
    <row r="4633" ht="12.75">
      <c r="B4633" s="3"/>
    </row>
    <row r="4634" ht="12.75">
      <c r="B4634" s="3"/>
    </row>
    <row r="4635" ht="12.75">
      <c r="B4635" s="3"/>
    </row>
    <row r="4636" ht="12.75">
      <c r="B4636" s="3"/>
    </row>
    <row r="4637" ht="12.75">
      <c r="B4637" s="3"/>
    </row>
    <row r="4638" ht="12.75">
      <c r="B4638" s="3"/>
    </row>
    <row r="4639" ht="12.75">
      <c r="B4639" s="3"/>
    </row>
    <row r="4640" ht="12.75">
      <c r="B4640" s="3"/>
    </row>
    <row r="4641" ht="12.75">
      <c r="B4641" s="3"/>
    </row>
    <row r="4642" ht="12.75">
      <c r="B4642" s="3"/>
    </row>
    <row r="4643" ht="12.75">
      <c r="B4643" s="3"/>
    </row>
    <row r="4644" ht="12.75">
      <c r="B4644" s="3"/>
    </row>
    <row r="4645" ht="12.75">
      <c r="B4645" s="3"/>
    </row>
    <row r="4646" ht="12.75">
      <c r="B4646" s="3"/>
    </row>
    <row r="4647" ht="12.75">
      <c r="B4647" s="3"/>
    </row>
    <row r="4648" ht="12.75">
      <c r="B4648" s="3"/>
    </row>
    <row r="4649" ht="12.75">
      <c r="B4649" s="3"/>
    </row>
    <row r="4650" ht="12.75">
      <c r="B4650" s="3"/>
    </row>
    <row r="4651" ht="12.75">
      <c r="B4651" s="3"/>
    </row>
    <row r="4652" ht="12.75">
      <c r="B4652" s="3"/>
    </row>
    <row r="4653" ht="12.75">
      <c r="B4653" s="3"/>
    </row>
    <row r="4654" ht="12.75">
      <c r="B4654" s="3"/>
    </row>
    <row r="4655" ht="12.75">
      <c r="B4655" s="3"/>
    </row>
    <row r="4656" ht="12.75">
      <c r="B4656" s="3"/>
    </row>
    <row r="4657" ht="12.75">
      <c r="B4657" s="3"/>
    </row>
    <row r="4658" ht="12.75">
      <c r="B4658" s="3"/>
    </row>
    <row r="4659" ht="12.75">
      <c r="B4659" s="3"/>
    </row>
    <row r="4660" ht="12.75">
      <c r="B4660" s="3"/>
    </row>
    <row r="4661" ht="12.75">
      <c r="B4661" s="3"/>
    </row>
    <row r="4662" ht="12.75">
      <c r="B4662" s="3"/>
    </row>
    <row r="4663" ht="12.75">
      <c r="B4663" s="3"/>
    </row>
    <row r="4664" ht="12.75">
      <c r="B4664" s="3"/>
    </row>
    <row r="4665" ht="12.75">
      <c r="B4665" s="3"/>
    </row>
    <row r="4666" ht="12.75">
      <c r="B4666" s="3"/>
    </row>
    <row r="4667" ht="12.75">
      <c r="B4667" s="3"/>
    </row>
    <row r="4668" ht="12.75">
      <c r="B4668" s="3"/>
    </row>
    <row r="4669" ht="12.75">
      <c r="B4669" s="3"/>
    </row>
    <row r="4670" ht="12.75">
      <c r="B4670" s="3"/>
    </row>
    <row r="4671" ht="12.75">
      <c r="B4671" s="3"/>
    </row>
    <row r="4672" ht="12.75">
      <c r="B4672" s="3"/>
    </row>
    <row r="4673" ht="12.75">
      <c r="B4673" s="3"/>
    </row>
    <row r="4674" ht="12.75">
      <c r="B4674" s="3"/>
    </row>
    <row r="4675" ht="12.75">
      <c r="B4675" s="3"/>
    </row>
    <row r="4676" ht="12.75">
      <c r="B4676" s="3"/>
    </row>
    <row r="4677" ht="12.75">
      <c r="B4677" s="3"/>
    </row>
    <row r="4678" ht="12.75">
      <c r="B4678" s="3"/>
    </row>
    <row r="4679" ht="12.75">
      <c r="B4679" s="3"/>
    </row>
    <row r="4680" ht="12.75">
      <c r="B4680" s="3"/>
    </row>
    <row r="4681" ht="12.75">
      <c r="B4681" s="3"/>
    </row>
    <row r="4682" ht="12.75">
      <c r="B4682" s="3"/>
    </row>
    <row r="4683" ht="12.75">
      <c r="B4683" s="3"/>
    </row>
    <row r="4684" ht="12.75">
      <c r="B4684" s="3"/>
    </row>
    <row r="4685" ht="12.75">
      <c r="B4685" s="3"/>
    </row>
    <row r="4686" ht="12.75">
      <c r="B4686" s="3"/>
    </row>
    <row r="4687" ht="12.75">
      <c r="B4687" s="3"/>
    </row>
    <row r="4688" ht="12.75">
      <c r="B4688" s="3"/>
    </row>
    <row r="4689" ht="12.75">
      <c r="B4689" s="3"/>
    </row>
    <row r="4690" ht="12.75">
      <c r="B4690" s="3"/>
    </row>
    <row r="4691" ht="12.75">
      <c r="B4691" s="3"/>
    </row>
    <row r="4692" ht="12.75">
      <c r="B4692" s="3"/>
    </row>
    <row r="4693" ht="12.75">
      <c r="B4693" s="3"/>
    </row>
    <row r="4694" ht="12.75">
      <c r="B4694" s="3"/>
    </row>
    <row r="4695" ht="12.75">
      <c r="B4695" s="3"/>
    </row>
    <row r="4696" ht="12.75">
      <c r="B4696" s="3"/>
    </row>
    <row r="4697" ht="12.75">
      <c r="B4697" s="3"/>
    </row>
    <row r="4698" ht="12.75">
      <c r="B4698" s="3"/>
    </row>
    <row r="4699" ht="12.75">
      <c r="B4699" s="3"/>
    </row>
    <row r="4700" ht="12.75">
      <c r="B4700" s="3"/>
    </row>
    <row r="4701" ht="12.75">
      <c r="B4701" s="3"/>
    </row>
    <row r="4702" ht="12.75">
      <c r="B4702" s="3"/>
    </row>
    <row r="4703" ht="12.75">
      <c r="B4703" s="3"/>
    </row>
    <row r="4704" ht="12.75">
      <c r="B4704" s="3"/>
    </row>
    <row r="4705" ht="12.75">
      <c r="B4705" s="3"/>
    </row>
    <row r="4706" ht="12.75">
      <c r="B4706" s="3"/>
    </row>
    <row r="4707" ht="12.75">
      <c r="B4707" s="3"/>
    </row>
    <row r="4708" ht="12.75">
      <c r="B4708" s="3"/>
    </row>
    <row r="4709" ht="12.75">
      <c r="B4709" s="3"/>
    </row>
    <row r="4710" ht="12.75">
      <c r="B4710" s="3"/>
    </row>
    <row r="4711" ht="12.75">
      <c r="B4711" s="3"/>
    </row>
    <row r="4712" ht="12.75">
      <c r="B4712" s="3"/>
    </row>
    <row r="4713" ht="12.75">
      <c r="B4713" s="3"/>
    </row>
    <row r="4714" ht="12.75">
      <c r="B4714" s="3"/>
    </row>
    <row r="4715" ht="12.75">
      <c r="B4715" s="3"/>
    </row>
    <row r="4716" ht="12.75">
      <c r="B4716" s="3"/>
    </row>
    <row r="4717" ht="12.75">
      <c r="B4717" s="3"/>
    </row>
    <row r="4718" ht="12.75">
      <c r="B4718" s="3"/>
    </row>
    <row r="4719" ht="12.75">
      <c r="B4719" s="3"/>
    </row>
    <row r="4720" ht="12.75">
      <c r="B4720" s="3"/>
    </row>
    <row r="4721" ht="12.75">
      <c r="B4721" s="3"/>
    </row>
    <row r="4722" ht="12.75">
      <c r="B4722" s="3"/>
    </row>
    <row r="4723" ht="12.75">
      <c r="B4723" s="3"/>
    </row>
    <row r="4724" ht="12.75">
      <c r="B4724" s="3"/>
    </row>
    <row r="4725" ht="12.75">
      <c r="B4725" s="3"/>
    </row>
    <row r="4726" ht="12.75">
      <c r="B4726" s="3"/>
    </row>
    <row r="4727" ht="12.75">
      <c r="B4727" s="3"/>
    </row>
    <row r="4728" ht="12.75">
      <c r="B4728" s="3"/>
    </row>
    <row r="4729" ht="12.75">
      <c r="B4729" s="3"/>
    </row>
    <row r="4730" ht="12.75">
      <c r="B4730" s="3"/>
    </row>
    <row r="4731" ht="12.75">
      <c r="B4731" s="3"/>
    </row>
    <row r="4732" ht="12.75">
      <c r="B4732" s="3"/>
    </row>
    <row r="4733" ht="12.75">
      <c r="B4733" s="3"/>
    </row>
    <row r="4734" ht="12.75">
      <c r="B4734" s="3"/>
    </row>
    <row r="4735" ht="12.75">
      <c r="B4735" s="3"/>
    </row>
    <row r="4736" ht="12.75">
      <c r="B4736" s="3"/>
    </row>
    <row r="4737" ht="12.75">
      <c r="B4737" s="3"/>
    </row>
    <row r="4738" ht="12.75">
      <c r="B4738" s="3"/>
    </row>
    <row r="4739" ht="12.75">
      <c r="B4739" s="3"/>
    </row>
    <row r="4740" ht="12.75">
      <c r="B4740" s="3"/>
    </row>
    <row r="4741" ht="12.75">
      <c r="B4741" s="3"/>
    </row>
    <row r="4742" ht="12.75">
      <c r="B4742" s="3"/>
    </row>
    <row r="4743" ht="12.75">
      <c r="B4743" s="3"/>
    </row>
    <row r="4744" ht="12.75">
      <c r="B4744" s="3"/>
    </row>
    <row r="4745" ht="12.75">
      <c r="B4745" s="3"/>
    </row>
    <row r="4746" ht="12.75">
      <c r="B4746" s="3"/>
    </row>
    <row r="4747" ht="12.75">
      <c r="B4747" s="3"/>
    </row>
    <row r="4748" ht="12.75">
      <c r="B4748" s="3"/>
    </row>
    <row r="4749" ht="12.75">
      <c r="B4749" s="3"/>
    </row>
    <row r="4750" ht="12.75">
      <c r="B4750" s="3"/>
    </row>
    <row r="4751" ht="12.75">
      <c r="B4751" s="3"/>
    </row>
    <row r="4752" ht="12.75">
      <c r="B4752" s="3"/>
    </row>
    <row r="4753" ht="12.75">
      <c r="B4753" s="3"/>
    </row>
    <row r="4754" ht="12.75">
      <c r="B4754" s="3"/>
    </row>
    <row r="4755" ht="12.75">
      <c r="B4755" s="3"/>
    </row>
    <row r="4756" ht="12.75">
      <c r="B4756" s="3"/>
    </row>
    <row r="4757" ht="12.75">
      <c r="B4757" s="3"/>
    </row>
    <row r="4758" ht="12.75">
      <c r="B4758" s="3"/>
    </row>
    <row r="4759" ht="12.75">
      <c r="B4759" s="3"/>
    </row>
    <row r="4760" ht="12.75">
      <c r="B4760" s="3"/>
    </row>
    <row r="4761" ht="12.75">
      <c r="B4761" s="3"/>
    </row>
    <row r="4762" ht="12.75">
      <c r="B4762" s="3"/>
    </row>
    <row r="4763" ht="12.75">
      <c r="B4763" s="3"/>
    </row>
    <row r="4764" ht="12.75">
      <c r="B4764" s="3"/>
    </row>
    <row r="4765" ht="12.75">
      <c r="B4765" s="3"/>
    </row>
    <row r="4766" ht="12.75">
      <c r="B4766" s="3"/>
    </row>
    <row r="4767" ht="12.75">
      <c r="B4767" s="3"/>
    </row>
    <row r="4768" ht="12.75">
      <c r="B4768" s="3"/>
    </row>
    <row r="4769" ht="12.75">
      <c r="B4769" s="3"/>
    </row>
    <row r="4770" ht="12.75">
      <c r="B4770" s="3"/>
    </row>
    <row r="4771" ht="12.75">
      <c r="B4771" s="3"/>
    </row>
    <row r="4772" ht="12.75">
      <c r="B4772" s="3"/>
    </row>
    <row r="4773" ht="12.75">
      <c r="B4773" s="3"/>
    </row>
    <row r="4774" ht="12.75">
      <c r="B4774" s="3"/>
    </row>
    <row r="4775" ht="12.75">
      <c r="B4775" s="3"/>
    </row>
    <row r="4776" ht="12.75">
      <c r="B4776" s="3"/>
    </row>
    <row r="4777" ht="12.75">
      <c r="B4777" s="3"/>
    </row>
    <row r="4778" ht="12.75">
      <c r="B4778" s="3"/>
    </row>
    <row r="4779" ht="12.75">
      <c r="B4779" s="3"/>
    </row>
    <row r="4780" ht="12.75">
      <c r="B4780" s="3"/>
    </row>
    <row r="4781" ht="12.75">
      <c r="B4781" s="3"/>
    </row>
    <row r="4782" ht="12.75">
      <c r="B4782" s="3"/>
    </row>
    <row r="4783" ht="12.75">
      <c r="B4783" s="3"/>
    </row>
    <row r="4784" ht="12.75">
      <c r="B4784" s="3"/>
    </row>
    <row r="4785" ht="12.75">
      <c r="B4785" s="3"/>
    </row>
    <row r="4786" ht="12.75">
      <c r="B4786" s="3"/>
    </row>
    <row r="4787" ht="12.75">
      <c r="B4787" s="3"/>
    </row>
    <row r="4788" ht="12.75">
      <c r="B4788" s="3"/>
    </row>
    <row r="4789" ht="12.75">
      <c r="B4789" s="3"/>
    </row>
    <row r="4790" ht="12.75">
      <c r="B4790" s="3"/>
    </row>
    <row r="4791" ht="12.75">
      <c r="B4791" s="3"/>
    </row>
    <row r="4792" ht="12.75">
      <c r="B4792" s="3"/>
    </row>
    <row r="4793" ht="12.75">
      <c r="B4793" s="3"/>
    </row>
    <row r="4794" ht="12.75">
      <c r="B4794" s="3"/>
    </row>
    <row r="4795" ht="12.75">
      <c r="B4795" s="3"/>
    </row>
    <row r="4796" ht="12.75">
      <c r="B4796" s="3"/>
    </row>
    <row r="4797" ht="12.75">
      <c r="B4797" s="3"/>
    </row>
    <row r="4798" ht="12.75">
      <c r="B4798" s="3"/>
    </row>
    <row r="4799" ht="12.75">
      <c r="B4799" s="3"/>
    </row>
    <row r="4800" ht="12.75">
      <c r="B4800" s="3"/>
    </row>
    <row r="4801" ht="12.75">
      <c r="B4801" s="3"/>
    </row>
    <row r="4802" ht="12.75">
      <c r="B4802" s="3"/>
    </row>
    <row r="4803" ht="12.75">
      <c r="B4803" s="3"/>
    </row>
    <row r="4804" ht="12.75">
      <c r="B4804" s="3"/>
    </row>
    <row r="4805" ht="12.75">
      <c r="B4805" s="3"/>
    </row>
    <row r="4806" ht="12.75">
      <c r="B4806" s="3"/>
    </row>
    <row r="4807" ht="12.75">
      <c r="B4807" s="3"/>
    </row>
    <row r="4808" ht="12.75">
      <c r="B4808" s="3"/>
    </row>
    <row r="4809" ht="12.75">
      <c r="B4809" s="3"/>
    </row>
    <row r="4810" ht="12.75">
      <c r="B4810" s="3"/>
    </row>
    <row r="4811" ht="12.75">
      <c r="B4811" s="3"/>
    </row>
    <row r="4812" ht="12.75">
      <c r="B4812" s="3"/>
    </row>
    <row r="4813" ht="12.75">
      <c r="B4813" s="3"/>
    </row>
    <row r="4814" ht="12.75">
      <c r="B4814" s="3"/>
    </row>
    <row r="4815" ht="12.75">
      <c r="B4815" s="3"/>
    </row>
    <row r="4816" ht="12.75">
      <c r="B4816" s="3"/>
    </row>
    <row r="4817" ht="12.75">
      <c r="B4817" s="3"/>
    </row>
    <row r="4818" ht="12.75">
      <c r="B4818" s="3"/>
    </row>
    <row r="4819" ht="12.75">
      <c r="B4819" s="3"/>
    </row>
    <row r="4820" ht="12.75">
      <c r="B4820" s="3"/>
    </row>
    <row r="4821" ht="12.75">
      <c r="B4821" s="3"/>
    </row>
    <row r="4822" ht="12.75">
      <c r="B4822" s="3"/>
    </row>
    <row r="4823" ht="12.75">
      <c r="B4823" s="3"/>
    </row>
    <row r="4824" ht="12.75">
      <c r="B4824" s="3"/>
    </row>
    <row r="4825" ht="12.75">
      <c r="B4825" s="3"/>
    </row>
    <row r="4826" ht="12.75">
      <c r="B4826" s="3"/>
    </row>
    <row r="4827" ht="12.75">
      <c r="B4827" s="3"/>
    </row>
    <row r="4828" ht="12.75">
      <c r="B4828" s="3"/>
    </row>
    <row r="4829" ht="12.75">
      <c r="B4829" s="3"/>
    </row>
    <row r="4830" ht="12.75">
      <c r="B4830" s="3"/>
    </row>
    <row r="4831" ht="12.75">
      <c r="B4831" s="3"/>
    </row>
    <row r="4832" ht="12.75">
      <c r="B4832" s="3"/>
    </row>
    <row r="4833" ht="12.75">
      <c r="B4833" s="3"/>
    </row>
    <row r="4834" ht="12.75">
      <c r="B4834" s="3"/>
    </row>
    <row r="4835" ht="12.75">
      <c r="B4835" s="3"/>
    </row>
    <row r="4836" ht="12.75">
      <c r="B4836" s="3"/>
    </row>
    <row r="4837" ht="12.75">
      <c r="B4837" s="3"/>
    </row>
    <row r="4838" ht="12.75">
      <c r="B4838" s="3"/>
    </row>
    <row r="4839" ht="12.75">
      <c r="B4839" s="3"/>
    </row>
    <row r="4840" ht="12.75">
      <c r="B4840" s="3"/>
    </row>
    <row r="4841" ht="12.75">
      <c r="B4841" s="3"/>
    </row>
    <row r="4842" ht="12.75">
      <c r="B4842" s="3"/>
    </row>
    <row r="4843" ht="12.75">
      <c r="B4843" s="3"/>
    </row>
    <row r="4844" ht="12.75">
      <c r="B4844" s="3"/>
    </row>
    <row r="4845" ht="12.75">
      <c r="B4845" s="3"/>
    </row>
    <row r="4846" ht="12.75">
      <c r="B4846" s="3"/>
    </row>
    <row r="4847" ht="12.75">
      <c r="B4847" s="3"/>
    </row>
    <row r="4848" ht="12.75">
      <c r="B4848" s="3"/>
    </row>
    <row r="4849" ht="12.75">
      <c r="B4849" s="3"/>
    </row>
    <row r="4850" ht="12.75">
      <c r="B4850" s="3"/>
    </row>
    <row r="4851" ht="12.75">
      <c r="B4851" s="3"/>
    </row>
    <row r="4852" ht="12.75">
      <c r="B4852" s="3"/>
    </row>
    <row r="4853" ht="12.75">
      <c r="B4853" s="3"/>
    </row>
    <row r="4854" ht="12.75">
      <c r="B4854" s="3"/>
    </row>
    <row r="4855" ht="12.75">
      <c r="B4855" s="3"/>
    </row>
    <row r="4856" ht="12.75">
      <c r="B4856" s="3"/>
    </row>
    <row r="4857" ht="12.75">
      <c r="B4857" s="3"/>
    </row>
    <row r="4858" ht="12.75">
      <c r="B4858" s="3"/>
    </row>
    <row r="4859" ht="12.75">
      <c r="B4859" s="3"/>
    </row>
    <row r="4860" ht="12.75">
      <c r="B4860" s="3"/>
    </row>
    <row r="4861" ht="12.75">
      <c r="B4861" s="3"/>
    </row>
    <row r="4862" ht="12.75">
      <c r="B4862" s="3"/>
    </row>
    <row r="4863" ht="12.75">
      <c r="B4863" s="3"/>
    </row>
    <row r="4864" ht="12.75">
      <c r="B4864" s="3"/>
    </row>
    <row r="4865" ht="12.75">
      <c r="B4865" s="3"/>
    </row>
    <row r="4866" ht="12.75">
      <c r="B4866" s="3"/>
    </row>
    <row r="4867" ht="12.75">
      <c r="B4867" s="3"/>
    </row>
    <row r="4868" ht="12.75">
      <c r="B4868" s="3"/>
    </row>
    <row r="4869" ht="12.75">
      <c r="B4869" s="3"/>
    </row>
    <row r="4870" ht="12.75">
      <c r="B4870" s="3"/>
    </row>
    <row r="4871" ht="12.75">
      <c r="B4871" s="3"/>
    </row>
    <row r="4872" ht="12.75">
      <c r="B4872" s="3"/>
    </row>
    <row r="4873" ht="12.75">
      <c r="B4873" s="3"/>
    </row>
    <row r="4874" ht="12.75">
      <c r="B4874" s="3"/>
    </row>
    <row r="4875" ht="12.75">
      <c r="B4875" s="3"/>
    </row>
    <row r="4876" ht="12.75">
      <c r="B4876" s="3"/>
    </row>
    <row r="4877" ht="12.75">
      <c r="B4877" s="3"/>
    </row>
    <row r="4878" ht="12.75">
      <c r="B4878" s="3"/>
    </row>
    <row r="4879" ht="12.75">
      <c r="B4879" s="3"/>
    </row>
    <row r="4880" ht="12.75">
      <c r="B4880" s="3"/>
    </row>
    <row r="4881" ht="12.75">
      <c r="B4881" s="3"/>
    </row>
    <row r="4882" ht="12.75">
      <c r="B4882" s="3"/>
    </row>
    <row r="4883" ht="12.75">
      <c r="B4883" s="3"/>
    </row>
    <row r="4884" ht="12.75">
      <c r="B4884" s="3"/>
    </row>
    <row r="4885" ht="12.75">
      <c r="B4885" s="3"/>
    </row>
    <row r="4886" ht="12.75">
      <c r="B4886" s="3"/>
    </row>
    <row r="4887" ht="12.75">
      <c r="B4887" s="3"/>
    </row>
    <row r="4888" ht="12.75">
      <c r="B4888" s="3"/>
    </row>
    <row r="4889" ht="12.75">
      <c r="B4889" s="3"/>
    </row>
    <row r="4890" ht="12.75">
      <c r="B4890" s="3"/>
    </row>
    <row r="4891" ht="12.75">
      <c r="B4891" s="3"/>
    </row>
    <row r="4892" ht="12.75">
      <c r="B4892" s="3"/>
    </row>
    <row r="4893" ht="12.75">
      <c r="B4893" s="3"/>
    </row>
    <row r="4894" ht="12.75">
      <c r="B4894" s="3"/>
    </row>
    <row r="4895" ht="12.75">
      <c r="B4895" s="3"/>
    </row>
    <row r="4896" ht="12.75">
      <c r="B4896" s="3"/>
    </row>
    <row r="4897" ht="12.75">
      <c r="B4897" s="3"/>
    </row>
    <row r="4898" ht="12.75">
      <c r="B4898" s="3"/>
    </row>
    <row r="4899" ht="12.75">
      <c r="B4899" s="3"/>
    </row>
    <row r="4900" ht="12.75">
      <c r="B4900" s="3"/>
    </row>
    <row r="4901" ht="12.75">
      <c r="B4901" s="3"/>
    </row>
    <row r="4902" ht="12.75">
      <c r="B4902" s="3"/>
    </row>
    <row r="4903" ht="12.75">
      <c r="B4903" s="3"/>
    </row>
    <row r="4904" ht="12.75">
      <c r="B4904" s="3"/>
    </row>
    <row r="4905" ht="12.75">
      <c r="B4905" s="3"/>
    </row>
    <row r="4906" ht="12.75">
      <c r="B4906" s="3"/>
    </row>
    <row r="4907" ht="12.75">
      <c r="B4907" s="3"/>
    </row>
    <row r="4908" ht="12.75">
      <c r="B4908" s="3"/>
    </row>
    <row r="4909" ht="12.75">
      <c r="B4909" s="3"/>
    </row>
    <row r="4910" ht="12.75">
      <c r="B4910" s="3"/>
    </row>
    <row r="4911" ht="12.75">
      <c r="B4911" s="3"/>
    </row>
    <row r="4912" ht="12.75">
      <c r="B4912" s="3"/>
    </row>
    <row r="4913" ht="12.75">
      <c r="B4913" s="3"/>
    </row>
    <row r="4914" ht="12.75">
      <c r="B4914" s="3"/>
    </row>
    <row r="4915" ht="12.75">
      <c r="B4915" s="3"/>
    </row>
    <row r="4916" ht="12.75">
      <c r="B4916" s="3"/>
    </row>
    <row r="4917" ht="12.75">
      <c r="B4917" s="3"/>
    </row>
    <row r="4918" ht="12.75">
      <c r="B4918" s="3"/>
    </row>
    <row r="4919" ht="12.75">
      <c r="B4919" s="3"/>
    </row>
    <row r="4920" ht="12.75">
      <c r="B4920" s="3"/>
    </row>
    <row r="4921" ht="12.75">
      <c r="B4921" s="3"/>
    </row>
    <row r="4922" ht="12.75">
      <c r="B4922" s="3"/>
    </row>
    <row r="4923" ht="12.75">
      <c r="B4923" s="3"/>
    </row>
    <row r="4924" ht="12.75">
      <c r="B4924" s="3"/>
    </row>
    <row r="4925" ht="12.75">
      <c r="B4925" s="3"/>
    </row>
    <row r="4926" ht="12.75">
      <c r="B4926" s="3"/>
    </row>
    <row r="4927" ht="12.75">
      <c r="B4927" s="3"/>
    </row>
    <row r="4928" ht="12.75">
      <c r="B4928" s="3"/>
    </row>
    <row r="4929" ht="12.75">
      <c r="B4929" s="3"/>
    </row>
    <row r="4930" ht="12.75">
      <c r="B4930" s="3"/>
    </row>
    <row r="4931" ht="12.75">
      <c r="B4931" s="3"/>
    </row>
    <row r="4932" ht="12.75">
      <c r="B4932" s="3"/>
    </row>
    <row r="4933" ht="12.75">
      <c r="B4933" s="3"/>
    </row>
    <row r="4934" ht="12.75">
      <c r="B4934" s="3"/>
    </row>
    <row r="4935" ht="12.75">
      <c r="B4935" s="3"/>
    </row>
    <row r="4936" ht="12.75">
      <c r="B4936" s="3"/>
    </row>
    <row r="4937" ht="12.75">
      <c r="B4937" s="3"/>
    </row>
    <row r="4938" ht="12.75">
      <c r="B4938" s="3"/>
    </row>
    <row r="4939" ht="12.75">
      <c r="B4939" s="3"/>
    </row>
    <row r="4940" ht="12.75">
      <c r="B4940" s="3"/>
    </row>
    <row r="4941" ht="12.75">
      <c r="B4941" s="3"/>
    </row>
    <row r="4942" ht="12.75">
      <c r="B4942" s="3"/>
    </row>
    <row r="4943" ht="12.75">
      <c r="B4943" s="3"/>
    </row>
    <row r="4944" ht="12.75">
      <c r="B4944" s="3"/>
    </row>
    <row r="4945" ht="12.75">
      <c r="B4945" s="3"/>
    </row>
    <row r="4946" ht="12.75">
      <c r="B4946" s="3"/>
    </row>
    <row r="4947" ht="12.75">
      <c r="B4947" s="3"/>
    </row>
    <row r="4948" ht="12.75">
      <c r="B4948" s="3"/>
    </row>
    <row r="4949" ht="12.75">
      <c r="B4949" s="3"/>
    </row>
    <row r="4950" ht="12.75">
      <c r="B4950" s="3"/>
    </row>
    <row r="4951" ht="12.75">
      <c r="B4951" s="3"/>
    </row>
    <row r="4952" ht="12.75">
      <c r="B4952" s="3"/>
    </row>
    <row r="4953" ht="12.75">
      <c r="B4953" s="3"/>
    </row>
    <row r="4954" ht="12.75">
      <c r="B4954" s="3"/>
    </row>
    <row r="4955" ht="12.75">
      <c r="B4955" s="3"/>
    </row>
    <row r="4956" ht="12.75">
      <c r="B4956" s="3"/>
    </row>
    <row r="4957" ht="12.75">
      <c r="B4957" s="3"/>
    </row>
    <row r="4958" ht="12.75">
      <c r="B4958" s="3"/>
    </row>
    <row r="4959" ht="12.75">
      <c r="B4959" s="3"/>
    </row>
    <row r="4960" ht="12.75">
      <c r="B4960" s="3"/>
    </row>
    <row r="4961" ht="12.75">
      <c r="B4961" s="3"/>
    </row>
    <row r="4962" ht="12.75">
      <c r="B4962" s="3"/>
    </row>
    <row r="4963" ht="12.75">
      <c r="B4963" s="3"/>
    </row>
    <row r="4964" ht="12.75">
      <c r="B4964" s="3"/>
    </row>
    <row r="4965" ht="12.75">
      <c r="B4965" s="3"/>
    </row>
    <row r="4966" ht="12.75">
      <c r="B4966" s="3"/>
    </row>
    <row r="4967" ht="12.75">
      <c r="B4967" s="3"/>
    </row>
    <row r="4968" ht="12.75">
      <c r="B4968" s="3"/>
    </row>
    <row r="4969" ht="12.75">
      <c r="B4969" s="3"/>
    </row>
    <row r="4970" ht="12.75">
      <c r="B4970" s="3"/>
    </row>
    <row r="4971" ht="12.75">
      <c r="B4971" s="3"/>
    </row>
    <row r="4972" ht="12.75">
      <c r="B4972" s="3"/>
    </row>
    <row r="4973" ht="12.75">
      <c r="B4973" s="3"/>
    </row>
    <row r="4974" ht="12.75">
      <c r="B4974" s="3"/>
    </row>
    <row r="4975" ht="12.75">
      <c r="B4975" s="3"/>
    </row>
    <row r="4976" ht="12.75">
      <c r="B4976" s="3"/>
    </row>
    <row r="4977" ht="12.75">
      <c r="B4977" s="3"/>
    </row>
    <row r="4978" ht="12.75">
      <c r="B4978" s="3"/>
    </row>
    <row r="4979" ht="12.75">
      <c r="B4979" s="3"/>
    </row>
    <row r="4980" ht="12.75">
      <c r="B4980" s="3"/>
    </row>
    <row r="4981" ht="12.75">
      <c r="B4981" s="3"/>
    </row>
    <row r="4982" ht="12.75">
      <c r="B4982" s="3"/>
    </row>
    <row r="4983" ht="12.75">
      <c r="B4983" s="3"/>
    </row>
    <row r="4984" ht="12.75">
      <c r="B4984" s="3"/>
    </row>
    <row r="4985" ht="12.75">
      <c r="B4985" s="3"/>
    </row>
    <row r="4986" ht="12.75">
      <c r="B4986" s="3"/>
    </row>
    <row r="4987" ht="12.75">
      <c r="B4987" s="3"/>
    </row>
    <row r="4988" ht="12.75">
      <c r="B4988" s="3"/>
    </row>
    <row r="4989" ht="12.75">
      <c r="B4989" s="3"/>
    </row>
    <row r="4990" ht="12.75">
      <c r="B4990" s="3"/>
    </row>
    <row r="4991" ht="12.75">
      <c r="B4991" s="3"/>
    </row>
    <row r="4992" ht="12.75">
      <c r="B4992" s="3"/>
    </row>
    <row r="4993" ht="12.75">
      <c r="B4993" s="3"/>
    </row>
    <row r="4994" ht="12.75">
      <c r="B4994" s="3"/>
    </row>
    <row r="4995" ht="12.75">
      <c r="B4995" s="3"/>
    </row>
    <row r="4996" ht="12.75">
      <c r="B4996" s="3"/>
    </row>
    <row r="4997" ht="12.75">
      <c r="B4997" s="3"/>
    </row>
    <row r="4998" ht="12.75">
      <c r="B4998" s="3"/>
    </row>
    <row r="4999" ht="12.75">
      <c r="B4999" s="3"/>
    </row>
    <row r="5000" ht="12.75">
      <c r="B5000" s="3"/>
    </row>
    <row r="5001" ht="12.75">
      <c r="B5001" s="3"/>
    </row>
    <row r="5002" ht="12.75">
      <c r="B5002" s="3"/>
    </row>
    <row r="5003" ht="12.75">
      <c r="B5003" s="3"/>
    </row>
    <row r="5004" ht="12.75">
      <c r="B5004" s="3"/>
    </row>
    <row r="5005" ht="12.75">
      <c r="B5005" s="3"/>
    </row>
    <row r="5006" ht="12.75">
      <c r="B5006" s="3"/>
    </row>
    <row r="5007" ht="12.75">
      <c r="B5007" s="3"/>
    </row>
    <row r="5008" ht="12.75">
      <c r="B5008" s="3"/>
    </row>
    <row r="5009" ht="12.75">
      <c r="B5009" s="3"/>
    </row>
    <row r="5010" ht="12.75">
      <c r="B5010" s="3"/>
    </row>
    <row r="5011" ht="12.75">
      <c r="B5011" s="3"/>
    </row>
    <row r="5012" ht="12.75">
      <c r="B5012" s="3"/>
    </row>
    <row r="5013" ht="12.75">
      <c r="B5013" s="3"/>
    </row>
    <row r="5014" ht="12.75">
      <c r="B5014" s="3"/>
    </row>
    <row r="5015" ht="12.75">
      <c r="B5015" s="3"/>
    </row>
    <row r="5016" ht="12.75">
      <c r="B5016" s="3"/>
    </row>
    <row r="5017" ht="12.75">
      <c r="B5017" s="3"/>
    </row>
    <row r="5018" ht="12.75">
      <c r="B5018" s="3"/>
    </row>
    <row r="5019" ht="12.75">
      <c r="B5019" s="3"/>
    </row>
    <row r="5020" ht="12.75">
      <c r="B5020" s="3"/>
    </row>
    <row r="5021" ht="12.75">
      <c r="B5021" s="3"/>
    </row>
    <row r="5022" ht="12.75">
      <c r="B5022" s="3"/>
    </row>
    <row r="5023" ht="12.75">
      <c r="B5023" s="3"/>
    </row>
    <row r="5024" ht="12.75">
      <c r="B5024" s="3"/>
    </row>
    <row r="5025" ht="12.75">
      <c r="B5025" s="3"/>
    </row>
    <row r="5026" ht="12.75">
      <c r="B5026" s="3"/>
    </row>
    <row r="5027" ht="12.75">
      <c r="B5027" s="3"/>
    </row>
    <row r="5028" ht="12.75">
      <c r="B5028" s="3"/>
    </row>
    <row r="5029" ht="12.75">
      <c r="B5029" s="3"/>
    </row>
    <row r="5030" ht="12.75">
      <c r="B5030" s="3"/>
    </row>
    <row r="5031" ht="12.75">
      <c r="B5031" s="3"/>
    </row>
    <row r="5032" ht="12.75">
      <c r="B5032" s="3"/>
    </row>
    <row r="5033" ht="12.75">
      <c r="B5033" s="3"/>
    </row>
    <row r="5034" ht="12.75">
      <c r="B5034" s="3"/>
    </row>
    <row r="5035" ht="12.75">
      <c r="B5035" s="3"/>
    </row>
    <row r="5036" ht="12.75">
      <c r="B5036" s="3"/>
    </row>
    <row r="5037" ht="12.75">
      <c r="B5037" s="3"/>
    </row>
    <row r="5038" ht="12.75">
      <c r="B5038" s="3"/>
    </row>
    <row r="5039" ht="12.75">
      <c r="B5039" s="3"/>
    </row>
    <row r="5040" ht="12.75">
      <c r="B5040" s="3"/>
    </row>
    <row r="5041" ht="12.75">
      <c r="B5041" s="3"/>
    </row>
    <row r="5042" ht="12.75">
      <c r="B5042" s="3"/>
    </row>
    <row r="5043" ht="12.75">
      <c r="B5043" s="3"/>
    </row>
    <row r="5044" ht="12.75">
      <c r="B5044" s="3"/>
    </row>
    <row r="5045" ht="12.75">
      <c r="B5045" s="3"/>
    </row>
    <row r="5046" ht="12.75">
      <c r="B5046" s="3"/>
    </row>
    <row r="5047" ht="12.75">
      <c r="B5047" s="3"/>
    </row>
    <row r="5048" ht="12.75">
      <c r="B5048" s="3"/>
    </row>
    <row r="5049" ht="12.75">
      <c r="B5049" s="3"/>
    </row>
    <row r="5050" ht="12.75">
      <c r="B5050" s="3"/>
    </row>
    <row r="5051" ht="12.75">
      <c r="B5051" s="3"/>
    </row>
    <row r="5052" ht="12.75">
      <c r="B5052" s="3"/>
    </row>
    <row r="5053" ht="12.75">
      <c r="B5053" s="3"/>
    </row>
    <row r="5054" ht="12.75">
      <c r="B5054" s="3"/>
    </row>
    <row r="5055" ht="12.75">
      <c r="B5055" s="3"/>
    </row>
    <row r="5056" ht="12.75">
      <c r="B5056" s="3"/>
    </row>
    <row r="5057" ht="12.75">
      <c r="B5057" s="3"/>
    </row>
    <row r="5058" ht="12.75">
      <c r="B5058" s="3"/>
    </row>
    <row r="5059" ht="12.75">
      <c r="B5059" s="3"/>
    </row>
    <row r="5060" ht="12.75">
      <c r="B5060" s="3"/>
    </row>
    <row r="5061" ht="12.75">
      <c r="B5061" s="3"/>
    </row>
    <row r="5062" ht="12.75">
      <c r="B5062" s="3"/>
    </row>
    <row r="5063" ht="12.75">
      <c r="B5063" s="3"/>
    </row>
    <row r="5064" ht="12.75">
      <c r="B5064" s="3"/>
    </row>
    <row r="5065" ht="12.75">
      <c r="B5065" s="3"/>
    </row>
    <row r="5066" ht="12.75">
      <c r="B5066" s="3"/>
    </row>
    <row r="5067" ht="12.75">
      <c r="B5067" s="3"/>
    </row>
    <row r="5068" ht="12.75">
      <c r="B5068" s="3"/>
    </row>
    <row r="5069" ht="12.75">
      <c r="B5069" s="3"/>
    </row>
    <row r="5070" ht="12.75">
      <c r="B5070" s="3"/>
    </row>
    <row r="5071" ht="12.75">
      <c r="B5071" s="3"/>
    </row>
    <row r="5072" ht="12.75">
      <c r="B5072" s="3"/>
    </row>
    <row r="5073" ht="12.75">
      <c r="B5073" s="3"/>
    </row>
    <row r="5074" ht="12.75">
      <c r="B5074" s="3"/>
    </row>
    <row r="5075" ht="12.75">
      <c r="B5075" s="3"/>
    </row>
    <row r="5076" ht="12.75">
      <c r="B5076" s="3"/>
    </row>
    <row r="5077" ht="12.75">
      <c r="B5077" s="3"/>
    </row>
    <row r="5078" ht="12.75">
      <c r="B5078" s="3"/>
    </row>
    <row r="5079" ht="12.75">
      <c r="B5079" s="3"/>
    </row>
    <row r="5080" ht="12.75">
      <c r="B5080" s="3"/>
    </row>
    <row r="5081" ht="12.75">
      <c r="B5081" s="3"/>
    </row>
    <row r="5082" ht="12.75">
      <c r="B5082" s="3"/>
    </row>
    <row r="5083" ht="12.75">
      <c r="B5083" s="3"/>
    </row>
    <row r="5084" ht="12.75">
      <c r="B5084" s="3"/>
    </row>
    <row r="5085" ht="12.75">
      <c r="B5085" s="3"/>
    </row>
    <row r="5086" ht="12.75">
      <c r="B5086" s="3"/>
    </row>
    <row r="5087" ht="12.75">
      <c r="B5087" s="3"/>
    </row>
    <row r="5088" ht="12.75">
      <c r="B5088" s="3"/>
    </row>
    <row r="5089" ht="12.75">
      <c r="B5089" s="3"/>
    </row>
    <row r="5090" ht="12.75">
      <c r="B5090" s="3"/>
    </row>
    <row r="5091" ht="12.75">
      <c r="B5091" s="3"/>
    </row>
    <row r="5092" ht="12.75">
      <c r="B5092" s="3"/>
    </row>
    <row r="5093" ht="12.75">
      <c r="B5093" s="3"/>
    </row>
    <row r="5094" ht="12.75">
      <c r="B5094" s="3"/>
    </row>
    <row r="5095" ht="12.75">
      <c r="B5095" s="3"/>
    </row>
    <row r="5096" ht="12.75">
      <c r="B5096" s="3"/>
    </row>
    <row r="5097" ht="12.75">
      <c r="B5097" s="3"/>
    </row>
    <row r="5098" ht="12.75">
      <c r="B5098" s="3"/>
    </row>
    <row r="5099" ht="12.75">
      <c r="B5099" s="3"/>
    </row>
    <row r="5100" ht="12.75">
      <c r="B5100" s="3"/>
    </row>
    <row r="5101" ht="12.75">
      <c r="B5101" s="3"/>
    </row>
    <row r="5102" ht="12.75">
      <c r="B5102" s="3"/>
    </row>
    <row r="5103" ht="12.75">
      <c r="B5103" s="3"/>
    </row>
    <row r="5104" ht="12.75">
      <c r="B5104" s="3"/>
    </row>
    <row r="5105" ht="12.75">
      <c r="B5105" s="3"/>
    </row>
    <row r="5106" ht="12.75">
      <c r="B5106" s="3"/>
    </row>
    <row r="5107" ht="12.75">
      <c r="B5107" s="3"/>
    </row>
    <row r="5108" ht="12.75">
      <c r="B5108" s="3"/>
    </row>
    <row r="5109" ht="12.75">
      <c r="B5109" s="3"/>
    </row>
    <row r="5110" ht="12.75">
      <c r="B5110" s="3"/>
    </row>
    <row r="5111" ht="12.75">
      <c r="B5111" s="3"/>
    </row>
    <row r="5112" ht="12.75">
      <c r="B5112" s="3"/>
    </row>
    <row r="5113" ht="12.75">
      <c r="B5113" s="3"/>
    </row>
    <row r="5114" ht="12.75">
      <c r="B5114" s="3"/>
    </row>
    <row r="5115" ht="12.75">
      <c r="B5115" s="3"/>
    </row>
    <row r="5116" ht="12.75">
      <c r="B5116" s="3"/>
    </row>
    <row r="5117" ht="12.75">
      <c r="B5117" s="3"/>
    </row>
    <row r="5118" ht="12.75">
      <c r="B5118" s="3"/>
    </row>
    <row r="5119" ht="12.75">
      <c r="B5119" s="3"/>
    </row>
    <row r="5120" ht="12.75">
      <c r="B5120" s="3"/>
    </row>
    <row r="5121" ht="12.75">
      <c r="B5121" s="3"/>
    </row>
    <row r="5122" ht="12.75">
      <c r="B5122" s="3"/>
    </row>
    <row r="5123" ht="12.75">
      <c r="B5123" s="3"/>
    </row>
    <row r="5124" ht="12.75">
      <c r="B5124" s="3"/>
    </row>
    <row r="5125" ht="12.75">
      <c r="B5125" s="3"/>
    </row>
    <row r="5126" ht="12.75">
      <c r="B5126" s="3"/>
    </row>
    <row r="5127" ht="12.75">
      <c r="B5127" s="3"/>
    </row>
    <row r="5128" ht="12.75">
      <c r="B5128" s="3"/>
    </row>
    <row r="5129" ht="12.75">
      <c r="B5129" s="3"/>
    </row>
    <row r="5130" ht="12.75">
      <c r="B5130" s="3"/>
    </row>
    <row r="5131" ht="12.75">
      <c r="B5131" s="3"/>
    </row>
    <row r="5132" ht="12.75">
      <c r="B5132" s="3"/>
    </row>
    <row r="5133" ht="12.75">
      <c r="B5133" s="3"/>
    </row>
    <row r="5134" ht="12.75">
      <c r="B5134" s="3"/>
    </row>
    <row r="5135" ht="12.75">
      <c r="B5135" s="3"/>
    </row>
    <row r="5136" ht="12.75">
      <c r="B5136" s="3"/>
    </row>
    <row r="5137" ht="12.75">
      <c r="B5137" s="3"/>
    </row>
    <row r="5138" ht="12.75">
      <c r="B5138" s="3"/>
    </row>
    <row r="5139" ht="12.75">
      <c r="B5139" s="3"/>
    </row>
    <row r="5140" ht="12.75">
      <c r="B5140" s="3"/>
    </row>
    <row r="5141" ht="12.75">
      <c r="B5141" s="3"/>
    </row>
    <row r="5142" ht="12.75">
      <c r="B5142" s="3"/>
    </row>
    <row r="5143" ht="12.75">
      <c r="B5143" s="3"/>
    </row>
    <row r="5144" ht="12.75">
      <c r="B5144" s="3"/>
    </row>
    <row r="5145" ht="12.75">
      <c r="B5145" s="3"/>
    </row>
    <row r="5146" ht="12.75">
      <c r="B5146" s="3"/>
    </row>
    <row r="5147" ht="12.75">
      <c r="B5147" s="3"/>
    </row>
    <row r="5148" ht="12.75">
      <c r="B5148" s="3"/>
    </row>
    <row r="5149" ht="12.75">
      <c r="B5149" s="3"/>
    </row>
    <row r="5150" ht="12.75">
      <c r="B5150" s="3"/>
    </row>
    <row r="5151" ht="12.75">
      <c r="B5151" s="3"/>
    </row>
    <row r="5152" ht="12.75">
      <c r="B5152" s="3"/>
    </row>
    <row r="5153" ht="12.75">
      <c r="B5153" s="3"/>
    </row>
    <row r="5154" ht="12.75">
      <c r="B5154" s="3"/>
    </row>
    <row r="5155" ht="12.75">
      <c r="B5155" s="3"/>
    </row>
    <row r="5156" ht="12.75">
      <c r="B5156" s="3"/>
    </row>
    <row r="5157" ht="12.75">
      <c r="B5157" s="3"/>
    </row>
    <row r="5158" ht="12.75">
      <c r="B5158" s="3"/>
    </row>
    <row r="5159" ht="12.75">
      <c r="B5159" s="3"/>
    </row>
    <row r="5160" ht="12.75">
      <c r="B5160" s="3"/>
    </row>
    <row r="5161" ht="12.75">
      <c r="B5161" s="3"/>
    </row>
    <row r="5162" ht="12.75">
      <c r="B5162" s="3"/>
    </row>
    <row r="5163" ht="12.75">
      <c r="B5163" s="3"/>
    </row>
    <row r="5164" ht="12.75">
      <c r="B5164" s="3"/>
    </row>
    <row r="5165" ht="12.75">
      <c r="B5165" s="3"/>
    </row>
    <row r="5166" ht="12.75">
      <c r="B5166" s="3"/>
    </row>
    <row r="5167" ht="12.75">
      <c r="B5167" s="3"/>
    </row>
    <row r="5168" ht="12.75">
      <c r="B5168" s="3"/>
    </row>
    <row r="5169" ht="12.75">
      <c r="B5169" s="3"/>
    </row>
    <row r="5170" ht="12.75">
      <c r="B5170" s="3"/>
    </row>
    <row r="5171" ht="12.75">
      <c r="B5171" s="3"/>
    </row>
    <row r="5172" ht="12.75">
      <c r="B5172" s="3"/>
    </row>
    <row r="5173" ht="12.75">
      <c r="B5173" s="3"/>
    </row>
    <row r="5174" ht="12.75">
      <c r="B5174" s="3"/>
    </row>
    <row r="5175" ht="12.75">
      <c r="B5175" s="3"/>
    </row>
    <row r="5176" ht="12.75">
      <c r="B5176" s="3"/>
    </row>
    <row r="5177" ht="12.75">
      <c r="B5177" s="3"/>
    </row>
    <row r="5178" ht="12.75">
      <c r="B5178" s="3"/>
    </row>
    <row r="5179" ht="12.75">
      <c r="B5179" s="3"/>
    </row>
    <row r="5180" ht="12.75">
      <c r="B5180" s="3"/>
    </row>
    <row r="5181" ht="12.75">
      <c r="B5181" s="3"/>
    </row>
    <row r="5182" ht="12.75">
      <c r="B5182" s="3"/>
    </row>
    <row r="5183" ht="12.75">
      <c r="B5183" s="3"/>
    </row>
    <row r="5184" ht="12.75">
      <c r="B5184" s="3"/>
    </row>
    <row r="5185" ht="12.75">
      <c r="B5185" s="3"/>
    </row>
    <row r="5186" ht="12.75">
      <c r="B5186" s="3"/>
    </row>
    <row r="5187" ht="12.75">
      <c r="B5187" s="3"/>
    </row>
    <row r="5188" ht="12.75">
      <c r="B5188" s="3"/>
    </row>
    <row r="5189" ht="12.75">
      <c r="B5189" s="3"/>
    </row>
    <row r="5190" ht="12.75">
      <c r="B5190" s="3"/>
    </row>
    <row r="5191" ht="12.75">
      <c r="B5191" s="3"/>
    </row>
    <row r="5192" ht="12.75">
      <c r="B5192" s="3"/>
    </row>
    <row r="5193" ht="12.75">
      <c r="B5193" s="3"/>
    </row>
    <row r="5194" ht="12.75">
      <c r="B5194" s="3"/>
    </row>
    <row r="5195" ht="12.75">
      <c r="B5195" s="3"/>
    </row>
    <row r="5196" ht="12.75">
      <c r="B5196" s="3"/>
    </row>
    <row r="5197" ht="12.75">
      <c r="B5197" s="3"/>
    </row>
    <row r="5198" ht="12.75">
      <c r="B5198" s="3"/>
    </row>
    <row r="5199" ht="12.75">
      <c r="B5199" s="3"/>
    </row>
    <row r="5200" ht="12.75">
      <c r="B5200" s="3"/>
    </row>
    <row r="5201" ht="12.75">
      <c r="B5201" s="3"/>
    </row>
    <row r="5202" ht="12.75">
      <c r="B5202" s="3"/>
    </row>
    <row r="5203" ht="12.75">
      <c r="B5203" s="3"/>
    </row>
    <row r="5204" ht="12.75">
      <c r="B5204" s="3"/>
    </row>
    <row r="5205" ht="12.75">
      <c r="B5205" s="3"/>
    </row>
    <row r="5206" ht="12.75">
      <c r="B5206" s="3"/>
    </row>
    <row r="5207" ht="12.75">
      <c r="B5207" s="3"/>
    </row>
    <row r="5208" ht="12.75">
      <c r="B5208" s="3"/>
    </row>
    <row r="5209" ht="12.75">
      <c r="B5209" s="3"/>
    </row>
    <row r="5210" ht="12.75">
      <c r="B5210" s="3"/>
    </row>
    <row r="5211" ht="12.75">
      <c r="B5211" s="3"/>
    </row>
    <row r="5212" ht="12.75">
      <c r="B5212" s="3"/>
    </row>
    <row r="5213" ht="12.75">
      <c r="B5213" s="3"/>
    </row>
    <row r="5214" ht="12.75">
      <c r="B5214" s="3"/>
    </row>
    <row r="5215" ht="12.75">
      <c r="B5215" s="3"/>
    </row>
    <row r="5216" ht="12.75">
      <c r="B5216" s="3"/>
    </row>
    <row r="5217" ht="12.75">
      <c r="B5217" s="3"/>
    </row>
    <row r="5218" ht="12.75">
      <c r="B5218" s="3"/>
    </row>
    <row r="5219" ht="12.75">
      <c r="B5219" s="3"/>
    </row>
    <row r="5220" ht="12.75">
      <c r="B5220" s="3"/>
    </row>
    <row r="5221" ht="12.75">
      <c r="B5221" s="3"/>
    </row>
    <row r="5222" ht="12.75">
      <c r="B5222" s="3"/>
    </row>
    <row r="5223" ht="12.75">
      <c r="B5223" s="3"/>
    </row>
    <row r="5224" ht="12.75">
      <c r="B5224" s="3"/>
    </row>
    <row r="5225" ht="12.75">
      <c r="B5225" s="3"/>
    </row>
    <row r="5226" ht="12.75">
      <c r="B5226" s="3"/>
    </row>
    <row r="5227" ht="12.75">
      <c r="B5227" s="3"/>
    </row>
    <row r="5228" ht="12.75">
      <c r="B5228" s="3"/>
    </row>
    <row r="5229" ht="12.75">
      <c r="B5229" s="3"/>
    </row>
    <row r="5230" ht="12.75">
      <c r="B5230" s="3"/>
    </row>
    <row r="5231" ht="12.75">
      <c r="B5231" s="3"/>
    </row>
    <row r="5232" ht="12.75">
      <c r="B5232" s="3"/>
    </row>
    <row r="5233" ht="12.75">
      <c r="B5233" s="3"/>
    </row>
    <row r="5234" ht="12.75">
      <c r="B5234" s="3"/>
    </row>
    <row r="5235" ht="12.75">
      <c r="B5235" s="3"/>
    </row>
    <row r="5236" ht="12.75">
      <c r="B5236" s="3"/>
    </row>
    <row r="5237" ht="12.75">
      <c r="B5237" s="3"/>
    </row>
    <row r="5238" ht="12.75">
      <c r="B5238" s="3"/>
    </row>
    <row r="5239" ht="12.75">
      <c r="B5239" s="3"/>
    </row>
    <row r="5240" ht="12.75">
      <c r="B5240" s="3"/>
    </row>
    <row r="5241" ht="12.75">
      <c r="B5241" s="3"/>
    </row>
    <row r="5242" ht="12.75">
      <c r="B5242" s="3"/>
    </row>
    <row r="5243" ht="12.75">
      <c r="B5243" s="3"/>
    </row>
    <row r="5244" ht="12.75">
      <c r="B5244" s="3"/>
    </row>
    <row r="5245" ht="12.75">
      <c r="B5245" s="3"/>
    </row>
    <row r="5246" ht="12.75">
      <c r="B5246" s="3"/>
    </row>
    <row r="5247" ht="12.75">
      <c r="B5247" s="3"/>
    </row>
    <row r="5248" ht="12.75">
      <c r="B5248" s="3"/>
    </row>
    <row r="5249" ht="12.75">
      <c r="B5249" s="3"/>
    </row>
    <row r="5250" ht="12.75">
      <c r="B5250" s="3"/>
    </row>
    <row r="5251" ht="12.75">
      <c r="B5251" s="3"/>
    </row>
    <row r="5252" ht="12.75">
      <c r="B5252" s="3"/>
    </row>
    <row r="5253" ht="12.75">
      <c r="B5253" s="3"/>
    </row>
    <row r="5254" ht="12.75">
      <c r="B5254" s="3"/>
    </row>
    <row r="5255" ht="12.75">
      <c r="B5255" s="3"/>
    </row>
    <row r="5256" ht="12.75">
      <c r="B5256" s="3"/>
    </row>
    <row r="5257" ht="12.75">
      <c r="B5257" s="3"/>
    </row>
    <row r="5258" ht="12.75">
      <c r="B5258" s="3"/>
    </row>
    <row r="5259" ht="12.75">
      <c r="B5259" s="3"/>
    </row>
    <row r="5260" ht="12.75">
      <c r="B5260" s="3"/>
    </row>
    <row r="5261" ht="12.75">
      <c r="B5261" s="3"/>
    </row>
    <row r="5262" ht="12.75">
      <c r="B5262" s="3"/>
    </row>
    <row r="5263" ht="12.75">
      <c r="B5263" s="3"/>
    </row>
    <row r="5264" ht="12.75">
      <c r="B5264" s="3"/>
    </row>
    <row r="5265" ht="12.75">
      <c r="B5265" s="3"/>
    </row>
    <row r="5266" ht="12.75">
      <c r="B5266" s="3"/>
    </row>
    <row r="5267" ht="12.75">
      <c r="B5267" s="3"/>
    </row>
    <row r="5268" ht="12.75">
      <c r="B5268" s="3"/>
    </row>
    <row r="5269" ht="12.75">
      <c r="B5269" s="3"/>
    </row>
    <row r="5270" ht="12.75">
      <c r="B5270" s="3"/>
    </row>
    <row r="5271" ht="12.75">
      <c r="B5271" s="3"/>
    </row>
    <row r="5272" ht="12.75">
      <c r="B5272" s="3"/>
    </row>
    <row r="5273" ht="12.75">
      <c r="B5273" s="3"/>
    </row>
    <row r="5274" ht="12.75">
      <c r="B5274" s="3"/>
    </row>
    <row r="5275" ht="12.75">
      <c r="B5275" s="3"/>
    </row>
    <row r="5276" ht="12.75">
      <c r="B5276" s="3"/>
    </row>
    <row r="5277" ht="12.75">
      <c r="B5277" s="3"/>
    </row>
    <row r="5278" ht="12.75">
      <c r="B5278" s="3"/>
    </row>
    <row r="5279" ht="12.75">
      <c r="B5279" s="3"/>
    </row>
    <row r="5280" ht="12.75">
      <c r="B5280" s="3"/>
    </row>
    <row r="5281" ht="12.75">
      <c r="B5281" s="3"/>
    </row>
    <row r="5282" ht="12.75">
      <c r="B5282" s="3"/>
    </row>
    <row r="5283" ht="12.75">
      <c r="B5283" s="3"/>
    </row>
    <row r="5284" ht="12.75">
      <c r="B5284" s="3"/>
    </row>
    <row r="5285" ht="12.75">
      <c r="B5285" s="3"/>
    </row>
    <row r="5286" ht="12.75">
      <c r="B5286" s="3"/>
    </row>
    <row r="5287" ht="12.75">
      <c r="B5287" s="3"/>
    </row>
    <row r="5288" ht="12.75">
      <c r="B5288" s="3"/>
    </row>
    <row r="5289" ht="12.75">
      <c r="B5289" s="3"/>
    </row>
    <row r="5290" ht="12.75">
      <c r="B5290" s="3"/>
    </row>
    <row r="5291" ht="12.75">
      <c r="B5291" s="3"/>
    </row>
    <row r="5292" ht="12.75">
      <c r="B5292" s="3"/>
    </row>
    <row r="5293" ht="12.75">
      <c r="B5293" s="3"/>
    </row>
    <row r="5294" ht="12.75">
      <c r="B5294" s="3"/>
    </row>
    <row r="5295" ht="12.75">
      <c r="B5295" s="3"/>
    </row>
    <row r="5296" ht="12.75">
      <c r="B5296" s="3"/>
    </row>
    <row r="5297" ht="12.75">
      <c r="B5297" s="3"/>
    </row>
    <row r="5298" ht="12.75">
      <c r="B5298" s="3"/>
    </row>
    <row r="5299" ht="12.75">
      <c r="B5299" s="3"/>
    </row>
    <row r="5300" ht="12.75">
      <c r="B5300" s="3"/>
    </row>
    <row r="5301" ht="12.75">
      <c r="B5301" s="3"/>
    </row>
    <row r="5302" ht="12.75">
      <c r="B5302" s="3"/>
    </row>
    <row r="5303" ht="12.75">
      <c r="B5303" s="3"/>
    </row>
    <row r="5304" ht="12.75">
      <c r="B5304" s="3"/>
    </row>
    <row r="5305" ht="12.75">
      <c r="B5305" s="3"/>
    </row>
    <row r="5306" ht="12.75">
      <c r="B5306" s="3"/>
    </row>
    <row r="5307" ht="12.75">
      <c r="B5307" s="3"/>
    </row>
    <row r="5308" ht="12.75">
      <c r="B5308" s="3"/>
    </row>
    <row r="5309" ht="12.75">
      <c r="B5309" s="3"/>
    </row>
    <row r="5310" ht="12.75">
      <c r="B5310" s="3"/>
    </row>
    <row r="5311" ht="12.75">
      <c r="B5311" s="3"/>
    </row>
    <row r="5312" ht="12.75">
      <c r="B5312" s="3"/>
    </row>
    <row r="5313" ht="12.75">
      <c r="B5313" s="3"/>
    </row>
    <row r="5314" ht="12.75">
      <c r="B5314" s="3"/>
    </row>
    <row r="5315" ht="12.75">
      <c r="B5315" s="3"/>
    </row>
    <row r="5316" ht="12.75">
      <c r="B5316" s="3"/>
    </row>
    <row r="5317" ht="12.75">
      <c r="B5317" s="3"/>
    </row>
    <row r="5318" ht="12.75">
      <c r="B5318" s="3"/>
    </row>
    <row r="5319" ht="12.75">
      <c r="B5319" s="3"/>
    </row>
    <row r="5320" ht="12.75">
      <c r="B5320" s="3"/>
    </row>
    <row r="5321" ht="12.75">
      <c r="B5321" s="3"/>
    </row>
    <row r="5322" ht="12.75">
      <c r="B5322" s="3"/>
    </row>
    <row r="5323" ht="12.75">
      <c r="B5323" s="3"/>
    </row>
    <row r="5324" ht="12.75">
      <c r="B5324" s="3"/>
    </row>
    <row r="5325" ht="12.75">
      <c r="B5325" s="3"/>
    </row>
    <row r="5326" ht="12.75">
      <c r="B5326" s="3"/>
    </row>
    <row r="5327" ht="12.75">
      <c r="B5327" s="3"/>
    </row>
    <row r="5328" ht="12.75">
      <c r="B5328" s="3"/>
    </row>
    <row r="5329" ht="12.75">
      <c r="B5329" s="3"/>
    </row>
    <row r="5330" ht="12.75">
      <c r="B5330" s="3"/>
    </row>
    <row r="5331" ht="12.75">
      <c r="B5331" s="3"/>
    </row>
    <row r="5332" ht="12.75">
      <c r="B5332" s="3"/>
    </row>
    <row r="5333" ht="12.75">
      <c r="B5333" s="3"/>
    </row>
    <row r="5334" ht="12.75">
      <c r="B5334" s="3"/>
    </row>
  </sheetData>
  <sheetProtection/>
  <mergeCells count="30">
    <mergeCell ref="GE1:GF1"/>
    <mergeCell ref="GG1:GI1"/>
    <mergeCell ref="CJ1:CU1"/>
    <mergeCell ref="FD113:FO113"/>
    <mergeCell ref="AN113:AY113"/>
    <mergeCell ref="BX1:CI1"/>
    <mergeCell ref="CJ113:CU113"/>
    <mergeCell ref="EF1:EQ1"/>
    <mergeCell ref="DT1:EE1"/>
    <mergeCell ref="EF113:EQ113"/>
    <mergeCell ref="DH113:DS113"/>
    <mergeCell ref="AB1:AM1"/>
    <mergeCell ref="FD1:FO1"/>
    <mergeCell ref="ER113:FC113"/>
    <mergeCell ref="GB1:GD1"/>
    <mergeCell ref="AZ113:BK113"/>
    <mergeCell ref="CV113:DG113"/>
    <mergeCell ref="FP113:GA113"/>
    <mergeCell ref="DH1:DS1"/>
    <mergeCell ref="ER1:FC1"/>
    <mergeCell ref="GB113:GD113"/>
    <mergeCell ref="BL113:BW113"/>
    <mergeCell ref="FP1:GA1"/>
    <mergeCell ref="CV1:DG1"/>
    <mergeCell ref="B1:B2"/>
    <mergeCell ref="AN1:AY1"/>
    <mergeCell ref="AZ1:BK1"/>
    <mergeCell ref="D1:O1"/>
    <mergeCell ref="BL1:BW1"/>
    <mergeCell ref="P1:AA1"/>
  </mergeCells>
  <printOptions horizontalCentered="1"/>
  <pageMargins left="0" right="0" top="0" bottom="0" header="0" footer="0"/>
  <pageSetup horizontalDpi="600" verticalDpi="600" orientation="landscape" paperSize="9" scale="43" r:id="rId1"/>
  <rowBreaks count="1" manualBreakCount="1">
    <brk id="97" max="255" man="1"/>
  </rowBreaks>
  <colBreaks count="2" manualBreakCount="2">
    <brk id="87" max="65535" man="1"/>
    <brk id="143" max="65535" man="1"/>
  </colBreaks>
  <ignoredErrors>
    <ignoredError sqref="DI69 EA60 EJ60 EL69 EU60:EV60 EX60 EZ59 FL60 FJ69 FO60 GC60:GD60" formula="1"/>
    <ignoredError sqref="DU69:DW69 DY69 ER83:ET83" formulaRange="1"/>
    <ignoredError sqref="S81:S8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nbs</dc:creator>
  <cp:keywords/>
  <dc:description/>
  <cp:lastModifiedBy>Buthaina Abood</cp:lastModifiedBy>
  <cp:lastPrinted>2016-03-13T06:22:55Z</cp:lastPrinted>
  <dcterms:created xsi:type="dcterms:W3CDTF">2004-08-24T09:12:12Z</dcterms:created>
  <dcterms:modified xsi:type="dcterms:W3CDTF">2019-05-06T09:46:53Z</dcterms:modified>
  <cp:category/>
  <cp:version/>
  <cp:contentType/>
  <cp:contentStatus/>
</cp:coreProperties>
</file>